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200" windowHeight="8565"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<sst xmlns="http://schemas.openxmlformats.org/spreadsheetml/2006/main" count="514" uniqueCount="241">
  <si>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</si>
  <si>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</si>
  <si>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</si>
  <si>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</si>
  <si>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</si>
  <si>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</si>
  <si>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</si>
  <si>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</si>
  <si>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</si>
  <si>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</si>
  <si>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</si>
  <si>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</si>
  <si>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</si>
  <si>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</si>
  <si>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</si>
  <si>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</si>
  <si>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</si>
  <si>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</si>
  <si>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</si>
  <si>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</si>
  <si>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</si>
  <si>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</si>
  <si>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</si>
  <si>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</si>
  <si>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</si>
  <si>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</si>
  <si>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</si>
  <si>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</si>
  <si>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</si>
  <si>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</si>
  <si>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</si>
  <si>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</si>
  <si>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</si>
  <si>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</si>
  <si>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</si>
  <si>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</si>
  <si>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</si>
  <si>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</si>
  <si>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</si>
  <si>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</si>
  <si>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</si>
  <si>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</si>
  <si>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</si>
  <si>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</si>
  <si>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</si>
  <si>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</si>
  <si>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</si>
  <si>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</si>
  <si>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</si>
  <si>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</si>
  <si>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</si>
  <si>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</si>
  <si>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</si>
  <si>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</si>
  <si>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</si>
  <si>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</si>
  <si>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</si>
  <si>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</si>
  <si>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</si>
  <si>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</si>
  <si>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</si>
  <si>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</si>
  <si>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</si>
  <si>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</si>
  <si>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</si>
  <si>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</si>
  <si>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</si>
  <si>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</si>
  <si>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</si>
  <si>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</si>
  <si>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</si>
  <si>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</si>
  <si>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</si>
  <si>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</si>
  <si>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</si>
  <si>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</si>
  <si>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</si>
  <si>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</si>
  <si>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</si>
  <si>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</si>
  <si>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</si>
  <si>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</si>
  <si>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</si>
  <si>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</si>
  <si>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</si>
  <si>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</si>
  <si>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</si>
  <si>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</si>
  <si>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</si>
  <si>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</si>
  <si>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</si>
  <si>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</si>
  <si>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</si>
  <si>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</si>
  <si>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</si>
  <si>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</si>
  <si>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</si>
  <si>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</si>
  <si>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</si>
  <si>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</si>
  <si>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</si>
  <si>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</si>
  <si>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</si>
  <si>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</si>
  <si>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</si>
  <si>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</si>
  <si>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</si>
  <si>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</si>
  <si>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</si>
  <si>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</si>
  <si>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</si>
  <si>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</si>
  <si>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</si>
  <si>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</si>
  <si>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</si>
  <si>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</si>
  <si>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</si>
  <si>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</si>
  <si>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</si>
  <si>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</si>
  <si>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</si>
  <si>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</si>
  <si>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</si>
  <si>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</si>
  <si>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</si>
  <si>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</si>
  <si>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</si>
  <si>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</si>
  <si>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</si>
  <si>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</si>
  <si>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</si>
  <si>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</si>
  <si>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</si>
  <si>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</si>
  <si>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</si>
  <si>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</si>
  <si>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</si>
  <si>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</si>
  <si>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</si>
  <si>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</si>
  <si>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</si>
  <si>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</si>
  <si>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</si>
  <si>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</si>
  <si>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</si>
  <si>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</si>
  <si>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</si>
  <si>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</si>
  <si>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</si>
  <si>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</si>
  <si>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</si>
  <si>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</si>
  <si>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</si>
  <si>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</si>
  <si>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</si>
  <si>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</si>
  <si>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</si>
  <si>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</si>
  <si>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</si>
  <si>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</si>
  <si>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</si>
  <si>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</si>
  <si>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</si>
  <si>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</si>
  <si>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</si>
  <si>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</si>
  <si>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</si>
  <si>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</si>
  <si>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</si>
  <si>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</si>
  <si>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</si>
  <si>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</si>
  <si>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</si>
  <si>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</si>
  <si>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</si>
  <si>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</si>
  <si>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</si>
  <si>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</si>
  <si>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</si>
  <si>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</si>
  <si>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</si>
  <si>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</si>
  <si>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</si>
  <si>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</si>
  <si>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</si>
  <si>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</si>
  <si>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</si>
  <si>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</si>
  <si>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</si>
  <si>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</si>
  <si>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</si>
  <si>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Se adelanta el proceso de implementación de MIPG articulado con MECI y su correspondiente actualización.</t>
  </si>
  <si>
    <t>Plan de Gestión Ambiental Regional PGAR, Plan Anual Cuatriernal PAC, Sistema de Gestión Institucional.</t>
  </si>
  <si>
    <t>Organigrama, Sistema de Gestión Institucional. Mapa de procesos.</t>
  </si>
  <si>
    <t>Manual de Funciones Resolución No.196 de 11 de marzo de 2015</t>
  </si>
  <si>
    <t>Sistema de Gestión Institucional.</t>
  </si>
  <si>
    <t>Audiencia Pública . Plan de Medios de Comunicación.</t>
  </si>
  <si>
    <t>En la actualización del Plan Anual Cuatrienal PAC se actualizó el contexto estratégico, a través de los procesos Planeación Ambiental y Orientación Estratégica.</t>
  </si>
  <si>
    <t>Elaboración y presentación de Informes de Ley. Planificación de la Oficina de Control Interno. Dificultades en el flujo de información interna.</t>
  </si>
  <si>
    <t>Politica de Administración del Riesgo , Mapas de Riesgo Institucionales, Estratégicos, de Contratación. Riesgos de Corrupción.</t>
  </si>
  <si>
    <t>Se cuenta con el Plan Anticorrupción y Atención al Ciudadano PAAC , publicado en la página WEB.</t>
  </si>
  <si>
    <t>Se requiere avanzar en la implementación de la politica de Gobierno Digital y Seguridad Digital.</t>
  </si>
  <si>
    <t>Corporación Autónoma Regional de Nariño - CORPONARIÑO</t>
  </si>
  <si>
    <t>Proceso Orientación Estratégica y Coordinación de Medios de Comunicación</t>
  </si>
  <si>
    <t>Canales institucfionales</t>
  </si>
  <si>
    <t>Fortalecer el análisis de causas para la formulación de acciones correctivas.</t>
  </si>
  <si>
    <t>Informes de la Oficina de Control Interno.</t>
  </si>
  <si>
    <t>Este aparte no aplica para la Corporación, por esta razón se establece el SI en esta valoración.</t>
  </si>
  <si>
    <t>Debilidades: Seguimiento continuo a los riesgos identificados en la entidad y a la eficacia de los controles. Establecimiento de las Lineas de Defensa. Seguimiento al Plan Anticorrupción y Atención al ciudadano. Adecuación del Sistema de Gestión Institucional a las politicas públicas  y  políticas de control de la entidad. De acuerdo a los seguimiento de la oficina de control interno se han identifcado situaciones específicas en los cuales no existe una adecuada asignación de funciones, por lo que se hace necesario revisar la Pólitica de Talento Humano y Manual de Funciones. Desarrollo de la Politica de Gobierno y Seguridad Digital. Se hace necesario la actualización de Procesos y Porcedimientos de acuerdo a la Dimensión de Gestión de Valores para Resultados y Simplificación de procesos. Fortaleza: Política de Administración del Riesgo</t>
  </si>
  <si>
    <t>En la vigencia 2021 se formuló y ejecutó  un plan de trabajo para la elaboración y adopción del Código de integridad de la Entidad, documento que fue aprobado por el comité de Gestión y desempeño.</t>
  </si>
  <si>
    <t>La Entidad realiza la evaluacion de los funcionarios vinculados mediante carrera administrativa acorde al sistema tipo de evaluacion del desempeño laboral suministrado por parte de la CNSC.</t>
  </si>
  <si>
    <t>Procedimiento administración del Talento Humano del Sistema de Gestión Institucional.</t>
  </si>
  <si>
    <t xml:space="preserve">Se remiten informes de seguimiento a la Alta Dirección y analiza a nivel de comité directivo. </t>
  </si>
  <si>
    <t>Politica de Administración del Riesgo, Mapas de Riesgo Institucionales, Estratégicos, de Contratación. Riesgos de Corrupción.</t>
  </si>
  <si>
    <t>Se ha evidenciado por parte del Jefe de oficina de control interno que la Entidad define planes de mejora y los implementa de acuerdo a los terminos establecidos por los Entes de control.</t>
  </si>
  <si>
    <t>La Entidad ha definido los controles frente a los riesgos de gestión y de corrupcion identificados.</t>
  </si>
  <si>
    <t xml:space="preserve">Para el segundo semestre de 2021 se realizó la revision de los mapas de riesgos por proceso y se realizo planes de accion para aquellos riesgos que se materializaron durante la vigencia 2021.
</t>
  </si>
  <si>
    <t xml:space="preserve">La entidad cuenta con la página web Institucional, correos electrónicos, líneas telefonicas y redes sociales institucionales.    
</t>
  </si>
  <si>
    <t xml:space="preserve">Los controles establecidos en los procedimientos  y en los mapas de riesgos han permitido ejecutar las acciones de acuerdo a lo previsto, aunque se presentan algunas desviaciones que deben ser subsanadas aprobechando las herramientas adoptadas por la entidad como la política de administracion de riesgos y su gestión.
</t>
  </si>
  <si>
    <t>Se materializan riesgos y es necesario continuar con la revisión y actualización de los mapas de riesgos para analizar la eficacia de los controles.</t>
  </si>
  <si>
    <t xml:space="preserve">Se realiza una revision semestral para evaluar  la pertinencia de los controles establecidos en los mapas de riesgos de cada proceso y en caso de ser necesario se realizan los ajustes  de acuerdo a los terminos establecidos en el procedimiento Adminisración de riesgos.
</t>
  </si>
  <si>
    <t>La oficina de planeación y los lideres de procesos definen reuniones para la revision de los mapas de riesgos  por procesos con todos los involucrados.</t>
  </si>
  <si>
    <t>Cada líder de proceso toma las decisiones pertinentes frente a los riesgos identificados.</t>
  </si>
  <si>
    <t>En los mapas de riesgos por procesos se establecen planes de accion frente a riesgo residual cuando su calificacion es alta o extrema.
Se adelantan acciones frente a la materializacion de riesgos desde el comité directivo, pero no se realiza teniendo en cuenta la metodologia de administración de riesgo.</t>
  </si>
  <si>
    <t xml:space="preserve">No se evidencia un monitoreo periodico por parte de los líderes y sus equipos de trabajo.
</t>
  </si>
  <si>
    <t>Sistematización de procesos, mejora y actualización de la infraestructura de conectividad en las instalaciones de la entidad.</t>
  </si>
  <si>
    <t xml:space="preserve">La entidad cuenta con la plataforma Gestor de Banco de proyectos, en el cual cada proceso realiza la formulacion de proyectos, con metas e indicadores que permiten hacer seguimiento del avance en la gestión.
</t>
  </si>
  <si>
    <t xml:space="preserve">La Entidad cuenta con el programa institucional de auditoria en el cual se establece la planeacion de las auditorias de los sistemas de gestión adoptados por la entidad, evaluaciones y seguimientos de ley y auditorias independientes programadas por la oficina de control interno.
se realiza seguimiento al sistema de control interno en los comités de cordianción de control interno.
</t>
  </si>
  <si>
    <t xml:space="preserve">De acuerdo al informe de gestion de la vigencia 2021 se cumplio al 100% con los indicadores mínimos de gestion y en un 92% con la totalidad de los indicadores. Sin embargo se debe continar con la implementacion y mejora de la gestion del riesgo.
</t>
  </si>
  <si>
    <t>Se viene realizando la implementacion de controles en algunos puntos criticos identificados en los procedimientos.</t>
  </si>
  <si>
    <t xml:space="preserve">Se ha establecido nuevos controles los cuales deben continuar siendo monitoreados para evaluar su efectividad.
</t>
  </si>
  <si>
    <t>Tablas de retencion documental y sitema interno de correspondencia, sistema de gestion institucional.</t>
  </si>
  <si>
    <t>Se debe formular el plan de gestion documental.</t>
  </si>
  <si>
    <t>Es necesario fortalecer y  actualizar el Sistema de Control Interno con base en el Modelo Estándar de Control Interno MECI, según sus cinco componentes. Mejorar el accionar del Comité Institucional de Coordinación Control Interno , especificamente en el tema relacionado con la revisión y actualización de riesgos y la efectividad de sus controles.</t>
  </si>
  <si>
    <t>La Entidad debe mejorar la articulacion de los componentes del sistema de control interno, especialmente la evaluacion del riesgo frente a las actividades de control.</t>
  </si>
  <si>
    <t>Debilidades :  
Revisar y actualizar la Política de Gestión del Talento Humano conforme a las Políticas Públicas que se integran en MIPG, especialmente en la formulacion de planes de bienestar en los cuales se considere las etapas de vinculación de los servidores publicos.
Fortalelecer la apropiacion de la estructura de lineas de defensa para todo el personal de la Entidad.
 Fortalezas:  En el semestre pasado se formuló y ejecutó un plan de trabajo encaminado a la construcción del Código de integridad el cual fue aprobado en el comite de gestión y desempeño, La experiencia y conocimiento del Talento Humano de la entidad, El cumplimiento de la normatividad aplicable frente a la vinculacion de los funcionarios de la entidad.
La entidad cuenta con manual de funciones, organigrama, sistema de gestión institucional.</t>
  </si>
  <si>
    <t>II SEMESTRE DE LA VIGENCIA 2021</t>
  </si>
  <si>
    <t>Debilidades :La Entidad requiere fortalecer la apropiacion de la politica y la gestion de riesgos por parte de los lideres de proceso y sus equipos de trabajo, para que se haga un seguimiento permanente, se lleve un registro de la materialización del riesgo, se evalue los controles  y se comunique su comportamiento a las instancias pertinentes.
Evaluar y actualizar mapas de riesgos estratégicos de manera permanente, los cuales deben alinearse con el plan y objetivos estratégicos de la entidad y adaptarse a los cambios pemanentes que las circunstancias de espacio, sociales, temporales, económicas y demás.
Fortaleza : Politica de Administración de Riesgo. Establecimiento de lineas de defensa, monitoreo y seguimiento por parte de la oficina de planeacion y oficina de control interno.</t>
  </si>
  <si>
    <t>Debilidades: Se requiere dar cumplimiento a la política de gestión documental iniciando con la actualización de las TRD y su posterior  aprobación del Archivo General de la Nación. Elaborar y adoptar el plan de gestion documental,
Implementar de mejor manera la Politica de Transparencia y acceso a la información pública y de seguridad en la información, con énfasis especial en las actividades de control de la confidencialidad, integridad y disponibilidad de los datos y la información.
Fortalecer canales de comunicación con las partes interesadas,  aprovechar las Tecnologías de la Información y Comunicación.
Fortalecer las políticas de operación relacionadas con la administarción de la información, en especial en lo conceniente a los niveles de autoridad y responsabilidad. Se debe establecer un Plan de Mejora para fortalecer la ejecución e implementación de la Politica de Gobierno Digital. 
Fortalezas: El Talento Humano comprometido, Plan de medios, procedimiento archivo y correspondencia del SGI.</t>
  </si>
  <si>
    <t>Debilidades: Se debe elaborar el Plan Anual de Auditoría, con base en la definición de lineas de defensa y el análisis de riesgo. Fortalecer la operatividad del Comité Institucional de Coordinación de Control Interno a fin de garantizar la toma de decisiones por parte de la Alta Dirección con soporte en los informes de auditoría realizados.Elaborar Planes de Mejoramiento por cada proceso de auditoría en la entidad, independientemente del origen de las mismas, deben ser oportunos, eficientes y efectivos.
Fortalezas: El Talento Humano. La entidad cuenta metas, indicadores que son monitoreados de manera trimestral, se realiza seguimiento mensual por parte de la oficina de control interno al cumplimiento de las acciones establecidas en los planes de mejoramiento suscritos con los entes de control.</t>
  </si>
  <si>
    <t>Corponariño establecio mediante la Resolución 754 del 31 de diciembre de 2021 "Por medio de la cual se actualiza la Política de Administración de Riesgos en la Corporación Autónoma Regional de Nariño – CORPONARIÑO, con base en lo establecido en el Sistema Integrado de Gestión Pública y se dictan otras disposiciones"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</si>
</sst>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6"/>
      <color theme="1"/>
      <name val="Arial"/>
      <family val="2"/>
    </font>
  </fonts>
  <fills count="18">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
      <patternFill patternType="solid">
        <fgColor theme="6"/>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3">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46" fillId="0" borderId="3" xfId="0" applyFont="1" applyFill="1" applyBorder="1" applyAlignment="1">
      <alignment horizontal="left" vertical="center" wrapText="1"/>
    </xf>
    <xf numFmtId="0" fontId="38" fillId="17" borderId="79"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left" vertical="center" wrapText="1"/>
      <protection locked="0"/>
    </xf>
    <xf numFmtId="0" fontId="38" fillId="0" borderId="9" xfId="0" applyFont="1" applyFill="1" applyBorder="1" applyAlignment="1" applyProtection="1">
      <alignment horizontal="center" vertical="center" wrapText="1"/>
      <protection hidden="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center" vertical="top" wrapText="1"/>
      <protection locked="0"/>
    </xf>
    <xf numFmtId="49" fontId="57" fillId="4" borderId="2" xfId="0" applyNumberFormat="1" applyFont="1" applyFill="1" applyBorder="1" applyAlignment="1" applyProtection="1">
      <alignment horizontal="center" vertical="top" wrapText="1"/>
      <protection locked="0"/>
    </xf>
    <xf numFmtId="49" fontId="57" fillId="4" borderId="84" xfId="0" applyNumberFormat="1" applyFont="1" applyFill="1" applyBorder="1" applyAlignment="1" applyProtection="1">
      <alignment horizontal="center" vertical="top" wrapText="1"/>
      <protection locked="0"/>
    </xf>
    <xf numFmtId="49" fontId="58" fillId="4" borderId="3" xfId="0" applyNumberFormat="1" applyFont="1" applyFill="1" applyBorder="1" applyAlignment="1" applyProtection="1">
      <alignment horizontal="center" vertical="top" wrapText="1"/>
      <protection locked="0"/>
    </xf>
    <xf numFmtId="49" fontId="0" fillId="4" borderId="3" xfId="0" applyNumberFormat="1" applyFill="1" applyBorder="1" applyAlignment="1" applyProtection="1">
      <alignment horizontal="center" vertical="top" wrapText="1"/>
      <protection locked="0"/>
    </xf>
    <xf numFmtId="49" fontId="0" fillId="4" borderId="85" xfId="0" applyNumberForma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top" wrapText="1"/>
      <protection locked="0"/>
    </xf>
    <xf numFmtId="49" fontId="0" fillId="4" borderId="86" xfId="0" applyNumberForma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justify" vertical="justify" wrapText="1"/>
      <protection locked="0"/>
    </xf>
    <xf numFmtId="49" fontId="0" fillId="4" borderId="4" xfId="0" applyNumberFormat="1" applyFill="1" applyBorder="1" applyAlignment="1" applyProtection="1">
      <alignment horizontal="justify" vertical="justify" wrapText="1"/>
      <protection locked="0"/>
    </xf>
    <xf numFmtId="0" fontId="52" fillId="12" borderId="0" xfId="0" applyFont="1" applyFill="1" applyBorder="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110" zoomScaleNormal="110" workbookViewId="0">
      <selection activeCell="D43" sqref="D43"/>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35"/>
    <row r="2" spans="2:8" ht="73.5" customHeight="1" x14ac:dyDescent="0.2">
      <c r="B2" s="168" t="s">
        <v>0</v>
      </c>
      <c r="C2" s="169"/>
      <c r="D2" s="169"/>
      <c r="E2" s="169"/>
      <c r="F2" s="169"/>
      <c r="G2" s="169"/>
      <c r="H2" s="170"/>
    </row>
    <row r="3" spans="2:8" ht="65.25" customHeight="1" x14ac:dyDescent="0.2">
      <c r="B3" s="171" t="s">
        <v>1</v>
      </c>
      <c r="C3" s="172"/>
      <c r="D3" s="172"/>
      <c r="E3" s="172"/>
      <c r="F3" s="172"/>
      <c r="G3" s="172"/>
      <c r="H3" s="173"/>
    </row>
    <row r="4" spans="2:8" ht="82.5" customHeight="1" x14ac:dyDescent="0.2">
      <c r="B4" s="171"/>
      <c r="C4" s="172"/>
      <c r="D4" s="172"/>
      <c r="E4" s="172"/>
      <c r="F4" s="172"/>
      <c r="G4" s="172"/>
      <c r="H4" s="173"/>
    </row>
    <row r="5" spans="2:8" ht="21.75" customHeight="1" x14ac:dyDescent="0.3">
      <c r="B5" s="174" t="s">
        <v>2</v>
      </c>
      <c r="C5" s="175"/>
      <c r="D5" s="175"/>
      <c r="E5" s="175"/>
      <c r="F5" s="175"/>
      <c r="G5" s="175"/>
      <c r="H5" s="176"/>
    </row>
    <row r="6" spans="2:8" ht="42" customHeight="1" x14ac:dyDescent="0.2">
      <c r="B6" s="177" t="s">
        <v>3</v>
      </c>
      <c r="C6" s="178"/>
      <c r="D6" s="178"/>
      <c r="E6" s="178"/>
      <c r="F6" s="178"/>
      <c r="G6" s="178"/>
      <c r="H6" s="179"/>
    </row>
    <row r="7" spans="2:8" ht="14.25" customHeight="1" x14ac:dyDescent="0.2">
      <c r="B7" s="177"/>
      <c r="C7" s="178"/>
      <c r="D7" s="178"/>
      <c r="E7" s="178"/>
      <c r="F7" s="178"/>
      <c r="G7" s="178"/>
      <c r="H7" s="179"/>
    </row>
    <row r="8" spans="2:8" ht="12.75" customHeight="1" thickBot="1" x14ac:dyDescent="0.35">
      <c r="B8" s="57"/>
      <c r="C8" s="51"/>
      <c r="D8" s="67"/>
      <c r="E8" s="68"/>
      <c r="F8" s="68"/>
      <c r="G8" s="65"/>
      <c r="H8" s="66"/>
    </row>
    <row r="9" spans="2:8" ht="21" customHeight="1" thickTop="1" x14ac:dyDescent="0.2">
      <c r="B9" s="57"/>
      <c r="C9" s="180" t="s">
        <v>4</v>
      </c>
      <c r="D9" s="181"/>
      <c r="E9" s="182" t="s">
        <v>5</v>
      </c>
      <c r="F9" s="183"/>
      <c r="G9" s="51"/>
      <c r="H9" s="59"/>
    </row>
    <row r="10" spans="2:8" ht="37.5" customHeight="1" x14ac:dyDescent="0.2">
      <c r="B10" s="57"/>
      <c r="C10" s="184" t="s">
        <v>6</v>
      </c>
      <c r="D10" s="185"/>
      <c r="E10" s="186" t="s">
        <v>7</v>
      </c>
      <c r="F10" s="187"/>
      <c r="G10" s="51"/>
      <c r="H10" s="59"/>
    </row>
    <row r="11" spans="2:8" ht="39.75" customHeight="1" x14ac:dyDescent="0.2">
      <c r="B11" s="57"/>
      <c r="C11" s="188" t="s">
        <v>8</v>
      </c>
      <c r="D11" s="189"/>
      <c r="E11" s="190" t="s">
        <v>9</v>
      </c>
      <c r="F11" s="191"/>
      <c r="G11" s="51"/>
      <c r="H11" s="59"/>
    </row>
    <row r="12" spans="2:8" ht="59.25" customHeight="1" x14ac:dyDescent="0.2">
      <c r="B12" s="57"/>
      <c r="C12" s="188" t="s">
        <v>10</v>
      </c>
      <c r="D12" s="189"/>
      <c r="E12" s="192" t="s">
        <v>11</v>
      </c>
      <c r="F12" s="193"/>
      <c r="G12" s="51"/>
      <c r="H12" s="59"/>
    </row>
    <row r="13" spans="2:8" ht="33.75" customHeight="1" x14ac:dyDescent="0.2">
      <c r="B13" s="57"/>
      <c r="C13" s="198" t="s">
        <v>12</v>
      </c>
      <c r="D13" s="199"/>
      <c r="E13" s="190" t="s">
        <v>13</v>
      </c>
      <c r="F13" s="191"/>
      <c r="G13" s="51"/>
      <c r="H13" s="59"/>
    </row>
    <row r="14" spans="2:8" ht="19.5" customHeight="1" x14ac:dyDescent="0.2">
      <c r="B14" s="57"/>
      <c r="C14" s="63"/>
      <c r="D14" s="63"/>
      <c r="E14" s="64"/>
      <c r="F14" s="64"/>
      <c r="G14" s="51"/>
      <c r="H14" s="59"/>
    </row>
    <row r="15" spans="2:8" ht="37.5" customHeight="1" thickBot="1" x14ac:dyDescent="0.25">
      <c r="B15" s="194" t="s">
        <v>14</v>
      </c>
      <c r="C15" s="195"/>
      <c r="D15" s="195"/>
      <c r="E15" s="195"/>
      <c r="F15" s="195"/>
      <c r="G15" s="195"/>
      <c r="H15" s="196"/>
    </row>
    <row r="16" spans="2:8" ht="27.75" customHeight="1" thickBot="1" x14ac:dyDescent="0.25">
      <c r="B16" s="57"/>
      <c r="C16" s="200" t="s">
        <v>15</v>
      </c>
      <c r="D16" s="201"/>
      <c r="E16" s="201" t="s">
        <v>16</v>
      </c>
      <c r="F16" s="212"/>
      <c r="G16" s="51"/>
      <c r="H16" s="59"/>
    </row>
    <row r="17" spans="2:8" ht="27.75" customHeight="1" x14ac:dyDescent="0.2">
      <c r="B17" s="57"/>
      <c r="C17" s="213" t="s">
        <v>17</v>
      </c>
      <c r="D17" s="214"/>
      <c r="E17" s="215" t="s">
        <v>18</v>
      </c>
      <c r="F17" s="216"/>
      <c r="G17" s="101"/>
      <c r="H17" s="59"/>
    </row>
    <row r="18" spans="2:8" ht="41.25" customHeight="1" x14ac:dyDescent="0.2">
      <c r="B18" s="57"/>
      <c r="C18" s="202" t="s">
        <v>19</v>
      </c>
      <c r="D18" s="203"/>
      <c r="E18" s="204" t="s">
        <v>20</v>
      </c>
      <c r="F18" s="205"/>
      <c r="G18" s="102"/>
      <c r="H18" s="59"/>
    </row>
    <row r="19" spans="2:8" ht="37.5" customHeight="1" thickBot="1" x14ac:dyDescent="0.25">
      <c r="B19" s="57"/>
      <c r="C19" s="206" t="s">
        <v>21</v>
      </c>
      <c r="D19" s="207"/>
      <c r="E19" s="208" t="s">
        <v>22</v>
      </c>
      <c r="F19" s="209"/>
      <c r="G19" s="102"/>
      <c r="H19" s="59"/>
    </row>
    <row r="20" spans="2:8" ht="11.25" customHeight="1" x14ac:dyDescent="0.2">
      <c r="B20" s="52"/>
      <c r="C20" s="53"/>
      <c r="D20" s="53"/>
      <c r="E20" s="53"/>
      <c r="F20" s="53"/>
      <c r="G20" s="53"/>
      <c r="H20" s="54"/>
    </row>
    <row r="21" spans="2:8" ht="14.25" customHeight="1" x14ac:dyDescent="0.2">
      <c r="B21" s="55"/>
      <c r="C21" s="210"/>
      <c r="D21" s="210"/>
      <c r="E21" s="211"/>
      <c r="F21" s="211"/>
      <c r="G21" s="211"/>
      <c r="H21" s="56"/>
    </row>
    <row r="22" spans="2:8" ht="36" customHeight="1" x14ac:dyDescent="0.2">
      <c r="B22" s="194" t="s">
        <v>23</v>
      </c>
      <c r="C22" s="195"/>
      <c r="D22" s="195"/>
      <c r="E22" s="195"/>
      <c r="F22" s="195"/>
      <c r="G22" s="195"/>
      <c r="H22" s="196"/>
    </row>
    <row r="23" spans="2:8" ht="13.5" x14ac:dyDescent="0.2">
      <c r="B23" s="57"/>
      <c r="C23" s="58"/>
      <c r="D23" s="58"/>
      <c r="E23" s="197"/>
      <c r="F23" s="197"/>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1" zoomScaleNormal="100" workbookViewId="0">
      <selection activeCell="H1" sqref="H1"/>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ht="14.1" x14ac:dyDescent="0.3">
      <c r="B1" s="46"/>
      <c r="C1" s="46"/>
      <c r="D1" s="46"/>
      <c r="E1" s="69"/>
      <c r="F1" s="69"/>
      <c r="G1" s="46"/>
      <c r="H1" s="46"/>
      <c r="I1" s="46"/>
      <c r="J1" s="71"/>
      <c r="K1" s="71"/>
      <c r="L1" s="72"/>
      <c r="M1" s="46"/>
      <c r="N1" s="46"/>
      <c r="O1" s="46"/>
      <c r="P1" s="46"/>
      <c r="Q1" s="46"/>
      <c r="R1" s="46"/>
      <c r="S1" s="46"/>
      <c r="T1" s="46"/>
      <c r="U1" s="46"/>
      <c r="V1" s="46"/>
      <c r="W1" s="46"/>
      <c r="X1" s="46"/>
    </row>
    <row r="2" spans="1:32" ht="14.1" x14ac:dyDescent="0.3">
      <c r="B2" s="46"/>
      <c r="C2" s="46"/>
      <c r="D2" s="46"/>
      <c r="E2" s="69"/>
      <c r="F2" s="69"/>
      <c r="G2" s="46"/>
      <c r="H2" s="46"/>
      <c r="I2" s="46"/>
      <c r="J2" s="71"/>
      <c r="K2" s="71"/>
      <c r="L2" s="72"/>
      <c r="M2" s="46"/>
      <c r="N2" s="46"/>
      <c r="O2" s="46"/>
      <c r="P2" s="46"/>
      <c r="Q2" s="46"/>
      <c r="R2" s="46"/>
      <c r="S2" s="46"/>
      <c r="T2" s="46"/>
      <c r="U2" s="46"/>
      <c r="V2" s="46"/>
      <c r="W2" s="46"/>
      <c r="X2" s="46"/>
    </row>
    <row r="3" spans="1:32" ht="14.1" x14ac:dyDescent="0.3">
      <c r="B3" s="46"/>
      <c r="C3" s="46"/>
      <c r="D3" s="46"/>
      <c r="E3" s="69"/>
      <c r="F3" s="69"/>
      <c r="G3" s="46"/>
      <c r="H3" s="46"/>
      <c r="I3" s="46"/>
      <c r="J3" s="71"/>
      <c r="K3" s="71"/>
      <c r="L3" s="72"/>
      <c r="M3" s="46"/>
      <c r="N3" s="46"/>
      <c r="O3" s="46"/>
      <c r="P3" s="46"/>
      <c r="Q3" s="46"/>
      <c r="R3" s="46"/>
      <c r="S3" s="46"/>
      <c r="T3" s="46"/>
      <c r="U3" s="46"/>
      <c r="V3" s="46"/>
      <c r="W3" s="46"/>
      <c r="X3" s="46"/>
    </row>
    <row r="4" spans="1:32" ht="14.1" x14ac:dyDescent="0.3">
      <c r="B4" s="46"/>
      <c r="C4" s="46"/>
      <c r="D4" s="46"/>
      <c r="E4" s="69"/>
      <c r="F4" s="69"/>
      <c r="G4" s="46"/>
      <c r="H4" s="46"/>
      <c r="I4" s="46"/>
      <c r="J4" s="71"/>
      <c r="K4" s="71"/>
      <c r="L4" s="72"/>
      <c r="M4" s="46"/>
      <c r="N4" s="46"/>
      <c r="O4" s="46"/>
      <c r="P4" s="46"/>
      <c r="Q4" s="46"/>
      <c r="R4" s="46"/>
      <c r="S4" s="46"/>
      <c r="T4" s="46"/>
      <c r="U4" s="46"/>
      <c r="V4" s="46"/>
      <c r="W4" s="46"/>
      <c r="X4" s="46"/>
    </row>
    <row r="5" spans="1:32" ht="14.1" x14ac:dyDescent="0.3">
      <c r="B5" s="46"/>
      <c r="C5" s="46"/>
      <c r="D5" s="46"/>
      <c r="E5" s="69"/>
      <c r="F5" s="69"/>
      <c r="G5" s="46"/>
      <c r="H5" s="46"/>
      <c r="I5" s="46"/>
      <c r="J5" s="71"/>
      <c r="K5" s="71"/>
      <c r="L5" s="72"/>
      <c r="M5" s="46"/>
      <c r="N5" s="46"/>
      <c r="O5" s="46"/>
      <c r="P5" s="46"/>
      <c r="Q5" s="46"/>
      <c r="R5" s="46"/>
      <c r="S5" s="46"/>
      <c r="T5" s="46"/>
      <c r="U5" s="46"/>
      <c r="V5" s="46"/>
      <c r="W5" s="46"/>
      <c r="X5" s="46"/>
    </row>
    <row r="6" spans="1:32" ht="14.1" x14ac:dyDescent="0.3">
      <c r="B6" s="46"/>
      <c r="C6" s="46"/>
      <c r="D6" s="46"/>
      <c r="E6" s="69"/>
      <c r="F6" s="69"/>
      <c r="G6" s="46"/>
      <c r="H6" s="46"/>
      <c r="I6" s="46"/>
      <c r="J6" s="71"/>
      <c r="K6" s="71"/>
      <c r="L6" s="72"/>
      <c r="M6" s="46"/>
      <c r="N6" s="46"/>
      <c r="O6" s="46"/>
      <c r="P6" s="46"/>
      <c r="Q6" s="46"/>
      <c r="R6" s="46"/>
      <c r="S6" s="46"/>
      <c r="T6" s="46"/>
      <c r="U6" s="46"/>
      <c r="V6" s="46"/>
      <c r="W6" s="46"/>
      <c r="X6" s="46"/>
    </row>
    <row r="7" spans="1:32" ht="14.1" x14ac:dyDescent="0.3">
      <c r="B7" s="46"/>
      <c r="C7" s="46"/>
      <c r="D7" s="46"/>
      <c r="E7" s="69"/>
      <c r="F7" s="69"/>
      <c r="G7" s="46"/>
      <c r="H7" s="46"/>
      <c r="I7" s="46"/>
      <c r="J7" s="71"/>
      <c r="K7" s="71"/>
      <c r="L7" s="72"/>
      <c r="M7" s="46"/>
      <c r="N7" s="46"/>
      <c r="O7" s="46"/>
      <c r="P7" s="46"/>
      <c r="Q7" s="46"/>
      <c r="R7" s="46"/>
      <c r="S7" s="46"/>
      <c r="T7" s="46"/>
      <c r="U7" s="46"/>
      <c r="V7" s="46"/>
      <c r="W7" s="46"/>
      <c r="X7" s="46"/>
    </row>
    <row r="8" spans="1:32" ht="14.1" x14ac:dyDescent="0.3">
      <c r="B8" s="46"/>
      <c r="C8" s="46"/>
      <c r="D8" s="46"/>
      <c r="E8" s="69"/>
      <c r="F8" s="69"/>
      <c r="G8" s="46"/>
      <c r="H8" s="46"/>
      <c r="I8" s="46"/>
      <c r="J8" s="71"/>
      <c r="K8" s="71"/>
      <c r="L8" s="72"/>
      <c r="M8" s="46"/>
      <c r="N8" s="46"/>
      <c r="O8" s="46"/>
      <c r="P8" s="46"/>
      <c r="Q8" s="46"/>
      <c r="R8" s="46"/>
      <c r="S8" s="46"/>
      <c r="T8" s="46"/>
      <c r="U8" s="46"/>
      <c r="V8" s="46"/>
      <c r="W8" s="46"/>
      <c r="X8" s="46"/>
    </row>
    <row r="9" spans="1:32" ht="14.1" x14ac:dyDescent="0.3">
      <c r="B9" s="46"/>
      <c r="C9" s="46"/>
      <c r="D9" s="46"/>
      <c r="E9" s="69"/>
      <c r="F9" s="69"/>
      <c r="G9" s="46"/>
      <c r="H9" s="46"/>
      <c r="I9" s="46"/>
      <c r="J9" s="71"/>
      <c r="K9" s="71"/>
      <c r="L9" s="72"/>
      <c r="M9" s="46"/>
      <c r="N9" s="46"/>
      <c r="O9" s="46"/>
      <c r="P9" s="46"/>
      <c r="Q9" s="46"/>
      <c r="R9" s="46"/>
      <c r="S9" s="46"/>
      <c r="T9" s="46"/>
      <c r="U9" s="46"/>
      <c r="V9" s="46"/>
      <c r="W9" s="46"/>
      <c r="X9" s="46"/>
    </row>
    <row r="10" spans="1:32" ht="14.1"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ht="14.1"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ht="14.1"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ht="14.1"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35">
      <c r="B14" s="248" t="s">
        <v>24</v>
      </c>
      <c r="C14" s="248"/>
      <c r="D14" s="248"/>
      <c r="E14" s="248"/>
      <c r="F14" s="248"/>
      <c r="G14" s="248"/>
      <c r="H14" s="248"/>
      <c r="I14" s="248"/>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9" t="s">
        <v>31</v>
      </c>
      <c r="C16" s="223" t="s">
        <v>32</v>
      </c>
      <c r="D16" s="256" t="s">
        <v>33</v>
      </c>
      <c r="E16" s="81" t="s">
        <v>34</v>
      </c>
      <c r="F16" s="82" t="s">
        <v>35</v>
      </c>
      <c r="G16" s="112" t="s">
        <v>39</v>
      </c>
      <c r="H16" s="113" t="s">
        <v>191</v>
      </c>
      <c r="I16" s="165"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6" x14ac:dyDescent="0.25">
      <c r="A17" s="103" t="str">
        <f t="shared" ref="A17:A27" si="1">1&amp;E17</f>
        <v>1b</v>
      </c>
      <c r="B17" s="260"/>
      <c r="C17" s="224"/>
      <c r="D17" s="257"/>
      <c r="E17" s="83" t="s">
        <v>37</v>
      </c>
      <c r="F17" s="84" t="s">
        <v>38</v>
      </c>
      <c r="G17" s="114" t="s">
        <v>39</v>
      </c>
      <c r="H17" s="115" t="s">
        <v>209</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60"/>
      <c r="C18" s="224"/>
      <c r="D18" s="257"/>
      <c r="E18" s="83" t="s">
        <v>40</v>
      </c>
      <c r="F18" s="85" t="s">
        <v>41</v>
      </c>
      <c r="G18" s="116" t="s">
        <v>39</v>
      </c>
      <c r="H18" s="117" t="s">
        <v>192</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60"/>
      <c r="C19" s="224"/>
      <c r="D19" s="257"/>
      <c r="E19" s="83" t="s">
        <v>42</v>
      </c>
      <c r="F19" s="85" t="s">
        <v>43</v>
      </c>
      <c r="G19" s="116" t="s">
        <v>39</v>
      </c>
      <c r="H19" s="117" t="s">
        <v>193</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60"/>
      <c r="C20" s="224"/>
      <c r="D20" s="257"/>
      <c r="E20" s="83" t="s">
        <v>44</v>
      </c>
      <c r="F20" s="85" t="s">
        <v>45</v>
      </c>
      <c r="G20" s="116" t="s">
        <v>39</v>
      </c>
      <c r="H20" s="117" t="s">
        <v>194</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60"/>
      <c r="C21" s="224"/>
      <c r="D21" s="257"/>
      <c r="E21" s="83" t="s">
        <v>46</v>
      </c>
      <c r="F21" s="85" t="s">
        <v>47</v>
      </c>
      <c r="G21" s="116" t="s">
        <v>39</v>
      </c>
      <c r="H21" s="117" t="s">
        <v>195</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60"/>
      <c r="C22" s="224"/>
      <c r="D22" s="257"/>
      <c r="E22" s="83" t="s">
        <v>48</v>
      </c>
      <c r="F22" s="85" t="s">
        <v>49</v>
      </c>
      <c r="G22" s="116" t="s">
        <v>39</v>
      </c>
      <c r="H22" s="117" t="s">
        <v>211</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60"/>
      <c r="C23" s="224"/>
      <c r="D23" s="257"/>
      <c r="E23" s="83" t="s">
        <v>50</v>
      </c>
      <c r="F23" s="85" t="s">
        <v>51</v>
      </c>
      <c r="G23" s="116" t="s">
        <v>39</v>
      </c>
      <c r="H23" s="117" t="s">
        <v>211</v>
      </c>
      <c r="I23" s="108" t="str">
        <f t="shared" si="2"/>
        <v>Mantenimiento del control</v>
      </c>
      <c r="J23" s="107">
        <f t="shared" si="0"/>
        <v>20</v>
      </c>
      <c r="K23" s="105">
        <v>0.12345678911999999</v>
      </c>
      <c r="L23" s="105">
        <f t="shared" si="3"/>
        <v>20.123456789119999</v>
      </c>
    </row>
    <row r="24" spans="1:32" s="49" customFormat="1" ht="73.5" customHeight="1" x14ac:dyDescent="0.25">
      <c r="A24" s="103" t="str">
        <f t="shared" si="1"/>
        <v>1i</v>
      </c>
      <c r="B24" s="260"/>
      <c r="C24" s="224"/>
      <c r="D24" s="257"/>
      <c r="E24" s="83" t="s">
        <v>52</v>
      </c>
      <c r="F24" s="85" t="s">
        <v>53</v>
      </c>
      <c r="G24" s="116" t="s">
        <v>39</v>
      </c>
      <c r="H24" s="117" t="s">
        <v>210</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60"/>
      <c r="C25" s="224"/>
      <c r="D25" s="257"/>
      <c r="E25" s="83" t="s">
        <v>54</v>
      </c>
      <c r="F25" s="85" t="s">
        <v>55</v>
      </c>
      <c r="G25" s="116" t="s">
        <v>36</v>
      </c>
      <c r="H25" s="117" t="s">
        <v>211</v>
      </c>
      <c r="I25" s="108" t="str">
        <f t="shared" si="2"/>
        <v>Deficiencia de control</v>
      </c>
      <c r="J25" s="107">
        <f t="shared" si="0"/>
        <v>0</v>
      </c>
      <c r="K25" s="105">
        <v>0.1234567891234</v>
      </c>
      <c r="L25" s="105">
        <f t="shared" si="3"/>
        <v>0.1234567891234</v>
      </c>
    </row>
    <row r="26" spans="1:32" s="49" customFormat="1" ht="42" customHeight="1" x14ac:dyDescent="0.25">
      <c r="A26" s="103" t="str">
        <f t="shared" si="1"/>
        <v>1k</v>
      </c>
      <c r="B26" s="260"/>
      <c r="C26" s="224"/>
      <c r="D26" s="257"/>
      <c r="E26" s="83" t="s">
        <v>56</v>
      </c>
      <c r="F26" s="85" t="s">
        <v>57</v>
      </c>
      <c r="G26" s="116" t="s">
        <v>39</v>
      </c>
      <c r="H26" s="117" t="s">
        <v>196</v>
      </c>
      <c r="I26" s="108" t="str">
        <f t="shared" si="2"/>
        <v>Mantenimiento del control</v>
      </c>
      <c r="J26" s="107">
        <f t="shared" si="0"/>
        <v>20</v>
      </c>
      <c r="K26" s="105">
        <v>0.12345678912345</v>
      </c>
      <c r="L26" s="105">
        <f t="shared" si="3"/>
        <v>20.123456789123448</v>
      </c>
    </row>
    <row r="27" spans="1:32" s="49" customFormat="1" ht="69.75" customHeight="1" thickBot="1" x14ac:dyDescent="0.3">
      <c r="A27" s="103" t="str">
        <f t="shared" si="1"/>
        <v>1l</v>
      </c>
      <c r="B27" s="261"/>
      <c r="C27" s="225"/>
      <c r="D27" s="258"/>
      <c r="E27" s="86" t="s">
        <v>58</v>
      </c>
      <c r="F27" s="87" t="s">
        <v>59</v>
      </c>
      <c r="G27" s="118" t="s">
        <v>76</v>
      </c>
      <c r="H27" s="119" t="s">
        <v>198</v>
      </c>
      <c r="I27" s="109" t="str">
        <f t="shared" si="2"/>
        <v>Oportunidad de mejora</v>
      </c>
      <c r="J27" s="107">
        <f t="shared" si="0"/>
        <v>10</v>
      </c>
      <c r="K27" s="105">
        <v>0.12345678912345601</v>
      </c>
      <c r="L27" s="105">
        <f t="shared" si="3"/>
        <v>10.123456789123455</v>
      </c>
    </row>
    <row r="28" spans="1:32" s="49" customFormat="1" ht="59.25" customHeight="1" x14ac:dyDescent="0.25">
      <c r="A28" s="103" t="str">
        <f>2&amp;E28</f>
        <v>2a</v>
      </c>
      <c r="B28" s="262" t="s">
        <v>60</v>
      </c>
      <c r="C28" s="226" t="s">
        <v>61</v>
      </c>
      <c r="D28" s="265" t="s">
        <v>62</v>
      </c>
      <c r="E28" s="81" t="s">
        <v>34</v>
      </c>
      <c r="F28" s="82" t="s">
        <v>63</v>
      </c>
      <c r="G28" s="112" t="s">
        <v>39</v>
      </c>
      <c r="H28" s="113" t="s">
        <v>197</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63"/>
      <c r="C29" s="227"/>
      <c r="D29" s="241"/>
      <c r="E29" s="83" t="s">
        <v>37</v>
      </c>
      <c r="F29" s="85" t="s">
        <v>64</v>
      </c>
      <c r="G29" s="116" t="s">
        <v>39</v>
      </c>
      <c r="H29" s="117" t="s">
        <v>213</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63"/>
      <c r="C30" s="227"/>
      <c r="D30" s="241"/>
      <c r="E30" s="83" t="s">
        <v>40</v>
      </c>
      <c r="F30" s="85" t="s">
        <v>65</v>
      </c>
      <c r="G30" s="116" t="s">
        <v>39</v>
      </c>
      <c r="H30" s="117" t="s">
        <v>200</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64"/>
      <c r="C31" s="228"/>
      <c r="D31" s="266"/>
      <c r="E31" s="86" t="s">
        <v>42</v>
      </c>
      <c r="F31" s="87" t="s">
        <v>66</v>
      </c>
      <c r="G31" s="118" t="s">
        <v>76</v>
      </c>
      <c r="H31" s="119" t="s">
        <v>201</v>
      </c>
      <c r="I31" s="109" t="str">
        <f t="shared" si="2"/>
        <v>Oportunidad de mejora</v>
      </c>
      <c r="J31" s="105">
        <f>+IF(G31="Si",40,IF(G31="En proceso",30,20))</f>
        <v>30</v>
      </c>
      <c r="K31" s="105">
        <v>0.23455999999999999</v>
      </c>
      <c r="L31" s="105">
        <f t="shared" si="3"/>
        <v>30.234559999999998</v>
      </c>
    </row>
    <row r="32" spans="1:32" s="49" customFormat="1" ht="167.25" customHeight="1" x14ac:dyDescent="0.25">
      <c r="A32" s="103" t="str">
        <f>3&amp;E32</f>
        <v>3a</v>
      </c>
      <c r="B32" s="238" t="s">
        <v>67</v>
      </c>
      <c r="C32" s="238" t="s">
        <v>61</v>
      </c>
      <c r="D32" s="239" t="s">
        <v>68</v>
      </c>
      <c r="E32" s="88" t="s">
        <v>34</v>
      </c>
      <c r="F32" s="85" t="s">
        <v>69</v>
      </c>
      <c r="G32" s="116" t="s">
        <v>36</v>
      </c>
      <c r="H32" s="117" t="s">
        <v>224</v>
      </c>
      <c r="I32" s="108" t="str">
        <f t="shared" si="2"/>
        <v>Deficiencia de control</v>
      </c>
      <c r="J32" s="105">
        <f t="shared" ref="J32:J37" si="5">+IF(G32="Si",40,IF(G32="En proceso",30,20))</f>
        <v>20</v>
      </c>
      <c r="K32" s="110">
        <v>0.234567</v>
      </c>
      <c r="L32" s="105">
        <f t="shared" ref="L32:L37" si="6">+J32+K32</f>
        <v>20.234566999999998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78" customHeight="1" x14ac:dyDescent="0.25">
      <c r="A33" s="103" t="str">
        <f t="shared" ref="A33:A34" si="7">3&amp;E33</f>
        <v>3b</v>
      </c>
      <c r="B33" s="238"/>
      <c r="C33" s="238"/>
      <c r="D33" s="239"/>
      <c r="E33" s="88" t="s">
        <v>37</v>
      </c>
      <c r="F33" s="85" t="s">
        <v>70</v>
      </c>
      <c r="G33" s="116" t="s">
        <v>36</v>
      </c>
      <c r="H33" s="117" t="s">
        <v>212</v>
      </c>
      <c r="I33" s="108" t="str">
        <f t="shared" si="2"/>
        <v>Deficiencia de control</v>
      </c>
      <c r="J33" s="105">
        <f t="shared" si="5"/>
        <v>20</v>
      </c>
      <c r="K33" s="110">
        <v>0.23456779999999999</v>
      </c>
      <c r="L33" s="105">
        <f t="shared" si="6"/>
        <v>20.234567800000001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120.6" customHeight="1" thickBot="1" x14ac:dyDescent="0.3">
      <c r="A34" s="103" t="str">
        <f t="shared" si="7"/>
        <v>3c</v>
      </c>
      <c r="B34" s="238"/>
      <c r="C34" s="238"/>
      <c r="D34" s="239"/>
      <c r="E34" s="88" t="s">
        <v>40</v>
      </c>
      <c r="F34" s="85" t="s">
        <v>71</v>
      </c>
      <c r="G34" s="116" t="s">
        <v>39</v>
      </c>
      <c r="H34" s="117" t="s">
        <v>220</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77.25" customHeight="1" x14ac:dyDescent="0.25">
      <c r="A35" s="103" t="str">
        <f>4&amp;E35</f>
        <v>4a</v>
      </c>
      <c r="B35" s="240" t="s">
        <v>72</v>
      </c>
      <c r="C35" s="227" t="s">
        <v>61</v>
      </c>
      <c r="D35" s="241" t="s">
        <v>73</v>
      </c>
      <c r="E35" s="81" t="s">
        <v>34</v>
      </c>
      <c r="F35" s="82" t="s">
        <v>74</v>
      </c>
      <c r="G35" s="112" t="s">
        <v>39</v>
      </c>
      <c r="H35" s="113" t="s">
        <v>221</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40"/>
      <c r="C36" s="227"/>
      <c r="D36" s="241"/>
      <c r="E36" s="83" t="s">
        <v>37</v>
      </c>
      <c r="F36" s="85" t="s">
        <v>75</v>
      </c>
      <c r="G36" s="116" t="s">
        <v>39</v>
      </c>
      <c r="H36" s="117" t="s">
        <v>222</v>
      </c>
      <c r="I36" s="108" t="str">
        <f t="shared" si="2"/>
        <v>Mantenimiento del control</v>
      </c>
      <c r="J36" s="105">
        <f t="shared" si="5"/>
        <v>40</v>
      </c>
      <c r="K36" s="110">
        <v>0.23456789122999999</v>
      </c>
      <c r="L36" s="105">
        <f t="shared" si="6"/>
        <v>40.23456789123</v>
      </c>
      <c r="M36" s="48"/>
      <c r="N36" s="48"/>
      <c r="O36" s="48"/>
      <c r="P36" s="48"/>
      <c r="Q36" s="48"/>
    </row>
    <row r="37" spans="1:32" s="49" customFormat="1" ht="76.5" customHeight="1" thickBot="1" x14ac:dyDescent="0.3">
      <c r="A37" s="103" t="str">
        <f t="shared" si="8"/>
        <v>4c</v>
      </c>
      <c r="B37" s="240"/>
      <c r="C37" s="227"/>
      <c r="D37" s="241"/>
      <c r="E37" s="83" t="s">
        <v>40</v>
      </c>
      <c r="F37" s="164" t="s">
        <v>77</v>
      </c>
      <c r="G37" s="114" t="s">
        <v>39</v>
      </c>
      <c r="H37" s="166" t="s">
        <v>214</v>
      </c>
      <c r="I37" s="167"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thickBot="1" x14ac:dyDescent="0.3">
      <c r="A38" s="103" t="str">
        <f>5&amp;E38</f>
        <v>5a</v>
      </c>
      <c r="B38" s="242" t="s">
        <v>78</v>
      </c>
      <c r="C38" s="229" t="s">
        <v>79</v>
      </c>
      <c r="D38" s="245" t="s">
        <v>80</v>
      </c>
      <c r="E38" s="81" t="s">
        <v>34</v>
      </c>
      <c r="F38" s="89" t="s">
        <v>81</v>
      </c>
      <c r="G38" s="120" t="s">
        <v>39</v>
      </c>
      <c r="H38" s="121" t="s">
        <v>215</v>
      </c>
      <c r="I38" s="111" t="str">
        <f t="shared" si="2"/>
        <v>Mantenimiento del control</v>
      </c>
      <c r="J38" s="105">
        <f>+IF(G38="Si",60,IF(G38="En proceso",50,40))</f>
        <v>60</v>
      </c>
      <c r="K38" s="105">
        <v>0.31</v>
      </c>
      <c r="L38" s="105">
        <f t="shared" si="3"/>
        <v>60.31</v>
      </c>
    </row>
    <row r="39" spans="1:32" s="49" customFormat="1" ht="82.5" x14ac:dyDescent="0.25">
      <c r="A39" s="103" t="str">
        <f t="shared" ref="A39:A42" si="9">5&amp;E39</f>
        <v>5b</v>
      </c>
      <c r="B39" s="243"/>
      <c r="C39" s="230"/>
      <c r="D39" s="246"/>
      <c r="E39" s="83" t="s">
        <v>37</v>
      </c>
      <c r="F39" s="85" t="s">
        <v>82</v>
      </c>
      <c r="G39" s="116" t="s">
        <v>76</v>
      </c>
      <c r="H39" s="121" t="s">
        <v>216</v>
      </c>
      <c r="I39" s="108" t="str">
        <f t="shared" si="2"/>
        <v>Oportunidad de mejora</v>
      </c>
      <c r="J39" s="105">
        <f>+IF(G39="Si",60,IF(G39="En proceso",50,40))</f>
        <v>50</v>
      </c>
      <c r="K39" s="105">
        <v>0.32300000000000001</v>
      </c>
      <c r="L39" s="105">
        <f t="shared" si="3"/>
        <v>50.323</v>
      </c>
    </row>
    <row r="40" spans="1:32" s="49" customFormat="1" ht="115.5" x14ac:dyDescent="0.25">
      <c r="A40" s="103" t="str">
        <f t="shared" si="9"/>
        <v>5c</v>
      </c>
      <c r="B40" s="243"/>
      <c r="C40" s="230"/>
      <c r="D40" s="246"/>
      <c r="E40" s="83" t="s">
        <v>40</v>
      </c>
      <c r="F40" s="85" t="s">
        <v>83</v>
      </c>
      <c r="G40" s="116" t="s">
        <v>76</v>
      </c>
      <c r="H40" s="117" t="s">
        <v>223</v>
      </c>
      <c r="I40" s="108" t="str">
        <f t="shared" si="2"/>
        <v>Oportunidad de mejora</v>
      </c>
      <c r="J40" s="105">
        <f>+IF(G40="Si",60,IF(G40="En proceso",50,40))</f>
        <v>50</v>
      </c>
      <c r="K40" s="105">
        <v>0.32400000000000001</v>
      </c>
      <c r="L40" s="105">
        <f t="shared" si="3"/>
        <v>50.323999999999998</v>
      </c>
    </row>
    <row r="41" spans="1:32" s="49" customFormat="1" ht="94.5" x14ac:dyDescent="0.25">
      <c r="A41" s="103" t="str">
        <f t="shared" si="9"/>
        <v>5d</v>
      </c>
      <c r="B41" s="243"/>
      <c r="C41" s="230"/>
      <c r="D41" s="246"/>
      <c r="E41" s="83" t="s">
        <v>42</v>
      </c>
      <c r="F41" s="85" t="s">
        <v>84</v>
      </c>
      <c r="G41" s="116" t="s">
        <v>39</v>
      </c>
      <c r="H41" s="117" t="s">
        <v>199</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44"/>
      <c r="C42" s="231"/>
      <c r="D42" s="247"/>
      <c r="E42" s="86" t="s">
        <v>44</v>
      </c>
      <c r="F42" s="87" t="s">
        <v>85</v>
      </c>
      <c r="G42" s="118" t="s">
        <v>39</v>
      </c>
      <c r="H42" s="117" t="s">
        <v>200</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52" t="s">
        <v>86</v>
      </c>
      <c r="C43" s="232" t="s">
        <v>87</v>
      </c>
      <c r="D43" s="249" t="s">
        <v>88</v>
      </c>
      <c r="E43" s="81" t="s">
        <v>34</v>
      </c>
      <c r="F43" s="82" t="s">
        <v>89</v>
      </c>
      <c r="G43" s="112" t="s">
        <v>39</v>
      </c>
      <c r="H43" s="113" t="s">
        <v>203</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53"/>
      <c r="C44" s="233"/>
      <c r="D44" s="250"/>
      <c r="E44" s="83" t="s">
        <v>37</v>
      </c>
      <c r="F44" s="164" t="s">
        <v>90</v>
      </c>
      <c r="G44" s="116" t="s">
        <v>39</v>
      </c>
      <c r="H44" s="117" t="s">
        <v>217</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53"/>
      <c r="C45" s="233"/>
      <c r="D45" s="250"/>
      <c r="E45" s="83" t="s">
        <v>40</v>
      </c>
      <c r="F45" s="85" t="s">
        <v>91</v>
      </c>
      <c r="G45" s="116" t="s">
        <v>39</v>
      </c>
      <c r="H45" s="117" t="s">
        <v>204</v>
      </c>
      <c r="I45" s="108" t="str">
        <f t="shared" si="2"/>
        <v>Mantenimiento del control</v>
      </c>
      <c r="J45" s="105">
        <f t="shared" si="10"/>
        <v>80</v>
      </c>
      <c r="K45" s="105">
        <v>0.41233999999999998</v>
      </c>
      <c r="L45" s="105">
        <f t="shared" si="3"/>
        <v>80.41234</v>
      </c>
    </row>
    <row r="46" spans="1:32" s="49" customFormat="1" ht="31.5" x14ac:dyDescent="0.25">
      <c r="A46" s="103" t="str">
        <f t="shared" si="11"/>
        <v>6d</v>
      </c>
      <c r="B46" s="253"/>
      <c r="C46" s="233"/>
      <c r="D46" s="250"/>
      <c r="E46" s="83" t="s">
        <v>42</v>
      </c>
      <c r="F46" s="164" t="s">
        <v>92</v>
      </c>
      <c r="G46" s="114" t="s">
        <v>36</v>
      </c>
      <c r="H46" s="166" t="s">
        <v>232</v>
      </c>
      <c r="I46" s="167" t="str">
        <f t="shared" si="2"/>
        <v>Deficiencia de control</v>
      </c>
      <c r="J46" s="105">
        <f t="shared" si="10"/>
        <v>60</v>
      </c>
      <c r="K46" s="105">
        <v>0.41234500000000002</v>
      </c>
      <c r="L46" s="105">
        <f t="shared" si="3"/>
        <v>60.412345000000002</v>
      </c>
    </row>
    <row r="47" spans="1:32" s="49" customFormat="1" ht="63" x14ac:dyDescent="0.25">
      <c r="A47" s="103" t="str">
        <f t="shared" si="11"/>
        <v>6e</v>
      </c>
      <c r="B47" s="253"/>
      <c r="C47" s="233"/>
      <c r="D47" s="250"/>
      <c r="E47" s="83" t="s">
        <v>44</v>
      </c>
      <c r="F47" s="85" t="s">
        <v>93</v>
      </c>
      <c r="G47" s="116" t="s">
        <v>39</v>
      </c>
      <c r="H47" s="117" t="s">
        <v>231</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53"/>
      <c r="C48" s="233"/>
      <c r="D48" s="250"/>
      <c r="E48" s="83" t="s">
        <v>46</v>
      </c>
      <c r="F48" s="85" t="s">
        <v>94</v>
      </c>
      <c r="G48" s="116" t="s">
        <v>39</v>
      </c>
      <c r="H48" s="117" t="s">
        <v>195</v>
      </c>
      <c r="I48" s="108" t="str">
        <f t="shared" si="2"/>
        <v>Mantenimiento del control</v>
      </c>
      <c r="J48" s="105">
        <f t="shared" si="10"/>
        <v>80</v>
      </c>
      <c r="K48" s="105">
        <v>0.41234567</v>
      </c>
      <c r="L48" s="105">
        <f t="shared" si="3"/>
        <v>80.412345669999993</v>
      </c>
    </row>
    <row r="49" spans="1:17" s="49" customFormat="1" ht="50.25" thickBot="1" x14ac:dyDescent="0.3">
      <c r="A49" s="103" t="str">
        <f t="shared" si="11"/>
        <v>6g</v>
      </c>
      <c r="B49" s="254"/>
      <c r="C49" s="234"/>
      <c r="D49" s="251"/>
      <c r="E49" s="86" t="s">
        <v>48</v>
      </c>
      <c r="F49" s="87" t="s">
        <v>95</v>
      </c>
      <c r="G49" s="118" t="s">
        <v>76</v>
      </c>
      <c r="H49" s="119" t="s">
        <v>225</v>
      </c>
      <c r="I49" s="109" t="str">
        <f t="shared" si="2"/>
        <v>Oportunidad de mejora</v>
      </c>
      <c r="J49" s="105">
        <f t="shared" si="10"/>
        <v>70</v>
      </c>
      <c r="K49" s="105">
        <v>0.41234567799999999</v>
      </c>
      <c r="L49" s="105">
        <f t="shared" si="3"/>
        <v>70.412345677999994</v>
      </c>
    </row>
    <row r="50" spans="1:17" s="49" customFormat="1" ht="87" customHeight="1" x14ac:dyDescent="0.25">
      <c r="A50" s="103" t="str">
        <f>7&amp;E50</f>
        <v>7a</v>
      </c>
      <c r="B50" s="220" t="s">
        <v>96</v>
      </c>
      <c r="C50" s="235" t="s">
        <v>97</v>
      </c>
      <c r="D50" s="217" t="s">
        <v>98</v>
      </c>
      <c r="E50" s="81" t="s">
        <v>34</v>
      </c>
      <c r="F50" s="82" t="s">
        <v>99</v>
      </c>
      <c r="G50" s="112" t="s">
        <v>39</v>
      </c>
      <c r="H50" s="113" t="s">
        <v>226</v>
      </c>
      <c r="I50" s="104" t="str">
        <f t="shared" si="2"/>
        <v>Mantenimiento del control</v>
      </c>
      <c r="J50" s="105">
        <f>+IF(G50="Si",120,IF(G50="En proceso",100,80))</f>
        <v>120</v>
      </c>
      <c r="K50" s="105">
        <v>0.85099999999999998</v>
      </c>
      <c r="L50" s="105">
        <f t="shared" si="3"/>
        <v>120.851</v>
      </c>
    </row>
    <row r="51" spans="1:17" s="49" customFormat="1" ht="148.5" x14ac:dyDescent="0.25">
      <c r="A51" s="103" t="str">
        <f t="shared" ref="A51:A53" si="12">7&amp;E51</f>
        <v>7d</v>
      </c>
      <c r="B51" s="221"/>
      <c r="C51" s="236"/>
      <c r="D51" s="218"/>
      <c r="E51" s="83" t="s">
        <v>42</v>
      </c>
      <c r="F51" s="85" t="s">
        <v>100</v>
      </c>
      <c r="G51" s="116" t="s">
        <v>39</v>
      </c>
      <c r="H51" s="117" t="s">
        <v>227</v>
      </c>
      <c r="I51" s="108" t="str">
        <f t="shared" si="2"/>
        <v>Mantenimiento del control</v>
      </c>
      <c r="J51" s="105">
        <f t="shared" ref="J51:J59" si="13">+IF(G51="Si",120,IF(G51="En proceso",100,80))</f>
        <v>120</v>
      </c>
      <c r="K51" s="105">
        <v>0.85119999999999996</v>
      </c>
      <c r="L51" s="105">
        <f t="shared" si="3"/>
        <v>120.85120000000001</v>
      </c>
    </row>
    <row r="52" spans="1:17" s="49" customFormat="1" ht="47.25" x14ac:dyDescent="0.25">
      <c r="A52" s="103" t="str">
        <f t="shared" si="12"/>
        <v>7f</v>
      </c>
      <c r="B52" s="221"/>
      <c r="C52" s="236"/>
      <c r="D52" s="218"/>
      <c r="E52" s="83" t="s">
        <v>46</v>
      </c>
      <c r="F52" s="85" t="s">
        <v>101</v>
      </c>
      <c r="G52" s="116" t="s">
        <v>76</v>
      </c>
      <c r="H52" s="117" t="s">
        <v>205</v>
      </c>
      <c r="I52" s="108" t="str">
        <f t="shared" si="2"/>
        <v>Oportunidad de mejora</v>
      </c>
      <c r="J52" s="105">
        <f t="shared" si="13"/>
        <v>100</v>
      </c>
      <c r="K52" s="105">
        <v>0.85123000000000004</v>
      </c>
      <c r="L52" s="105">
        <f t="shared" si="3"/>
        <v>100.85123</v>
      </c>
    </row>
    <row r="53" spans="1:17" s="49" customFormat="1" ht="48" thickBot="1" x14ac:dyDescent="0.3">
      <c r="A53" s="103" t="str">
        <f t="shared" si="12"/>
        <v>7g</v>
      </c>
      <c r="B53" s="222"/>
      <c r="C53" s="237"/>
      <c r="D53" s="255"/>
      <c r="E53" s="86" t="s">
        <v>48</v>
      </c>
      <c r="F53" s="87" t="s">
        <v>102</v>
      </c>
      <c r="G53" s="118" t="s">
        <v>39</v>
      </c>
      <c r="H53" s="119" t="s">
        <v>206</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39</v>
      </c>
      <c r="H54" s="113" t="s">
        <v>207</v>
      </c>
      <c r="I54" s="104" t="str">
        <f t="shared" si="2"/>
        <v>Mantenimiento del control</v>
      </c>
      <c r="J54" s="105">
        <f t="shared" si="13"/>
        <v>120</v>
      </c>
      <c r="K54" s="105">
        <v>0.85123450000000001</v>
      </c>
      <c r="L54" s="105">
        <f t="shared" si="3"/>
        <v>120.8512345</v>
      </c>
    </row>
    <row r="55" spans="1:17" s="49" customFormat="1" ht="98.25" customHeight="1" x14ac:dyDescent="0.25">
      <c r="A55" s="103" t="str">
        <f>9&amp;E55</f>
        <v>9a</v>
      </c>
      <c r="B55" s="220" t="s">
        <v>106</v>
      </c>
      <c r="C55" s="235" t="s">
        <v>97</v>
      </c>
      <c r="D55" s="217" t="s">
        <v>107</v>
      </c>
      <c r="E55" s="81" t="s">
        <v>34</v>
      </c>
      <c r="F55" s="82" t="s">
        <v>108</v>
      </c>
      <c r="G55" s="112" t="s">
        <v>76</v>
      </c>
      <c r="H55" s="113" t="s">
        <v>228</v>
      </c>
      <c r="I55" s="104" t="str">
        <f t="shared" si="2"/>
        <v>Oportunidad de mejora</v>
      </c>
      <c r="J55" s="105">
        <f t="shared" si="13"/>
        <v>100</v>
      </c>
      <c r="K55" s="110">
        <v>0.85123455999999997</v>
      </c>
      <c r="L55" s="105">
        <f t="shared" si="3"/>
        <v>100.85123455999999</v>
      </c>
      <c r="M55" s="48"/>
      <c r="N55" s="48"/>
      <c r="O55" s="48"/>
      <c r="P55" s="48"/>
      <c r="Q55" s="48"/>
    </row>
    <row r="56" spans="1:17" s="49" customFormat="1" ht="55.5" customHeight="1" x14ac:dyDescent="0.25">
      <c r="A56" s="103" t="str">
        <f t="shared" ref="A56:A59" si="14">9&amp;E56</f>
        <v>9b</v>
      </c>
      <c r="B56" s="221"/>
      <c r="C56" s="236"/>
      <c r="D56" s="218"/>
      <c r="E56" s="83" t="s">
        <v>37</v>
      </c>
      <c r="F56" s="85" t="s">
        <v>109</v>
      </c>
      <c r="G56" s="116" t="s">
        <v>76</v>
      </c>
      <c r="H56" s="117" t="s">
        <v>229</v>
      </c>
      <c r="I56" s="108" t="str">
        <f t="shared" si="2"/>
        <v>Oportunidad de mejora</v>
      </c>
      <c r="J56" s="105">
        <f t="shared" si="13"/>
        <v>100</v>
      </c>
      <c r="K56" s="110">
        <v>0.851234567</v>
      </c>
      <c r="L56" s="105">
        <f t="shared" si="3"/>
        <v>100.85123456700001</v>
      </c>
      <c r="M56" s="48"/>
      <c r="N56" s="48"/>
      <c r="O56" s="48"/>
      <c r="P56" s="48"/>
      <c r="Q56" s="48"/>
    </row>
    <row r="57" spans="1:17" s="49" customFormat="1" ht="77.25" customHeight="1" x14ac:dyDescent="0.25">
      <c r="A57" s="103" t="str">
        <f t="shared" si="14"/>
        <v>9c</v>
      </c>
      <c r="B57" s="221"/>
      <c r="C57" s="236"/>
      <c r="D57" s="218"/>
      <c r="E57" s="83" t="s">
        <v>40</v>
      </c>
      <c r="F57" s="85" t="s">
        <v>110</v>
      </c>
      <c r="G57" s="116" t="s">
        <v>76</v>
      </c>
      <c r="H57" s="117" t="s">
        <v>230</v>
      </c>
      <c r="I57" s="108" t="str">
        <f t="shared" si="2"/>
        <v>Oportunidad de mejora</v>
      </c>
      <c r="J57" s="105">
        <f t="shared" si="13"/>
        <v>100</v>
      </c>
      <c r="K57" s="110">
        <v>0.85123456779999995</v>
      </c>
      <c r="L57" s="105">
        <f t="shared" si="3"/>
        <v>100.85123456780001</v>
      </c>
      <c r="M57" s="48"/>
      <c r="N57" s="48"/>
      <c r="O57" s="48"/>
      <c r="P57" s="48"/>
      <c r="Q57" s="48"/>
    </row>
    <row r="58" spans="1:17" s="49" customFormat="1" ht="144" customHeight="1" thickBot="1" x14ac:dyDescent="0.3">
      <c r="A58" s="103" t="str">
        <f t="shared" si="14"/>
        <v>9d</v>
      </c>
      <c r="B58" s="221"/>
      <c r="C58" s="236"/>
      <c r="D58" s="218"/>
      <c r="E58" s="83" t="s">
        <v>42</v>
      </c>
      <c r="F58" s="85" t="s">
        <v>111</v>
      </c>
      <c r="G58" s="116" t="s">
        <v>76</v>
      </c>
      <c r="H58" s="117" t="s">
        <v>218</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22"/>
      <c r="C59" s="236"/>
      <c r="D59" s="219"/>
      <c r="E59" s="86" t="s">
        <v>44</v>
      </c>
      <c r="F59" s="87" t="s">
        <v>112</v>
      </c>
      <c r="G59" s="118" t="s">
        <v>76</v>
      </c>
      <c r="H59" s="113" t="s">
        <v>219</v>
      </c>
      <c r="I59" s="109" t="str">
        <f t="shared" si="2"/>
        <v>Oportunidad de mejora</v>
      </c>
      <c r="J59" s="105">
        <f t="shared" si="13"/>
        <v>100</v>
      </c>
      <c r="K59" s="110">
        <v>0.85123456789100005</v>
      </c>
      <c r="L59" s="105">
        <f t="shared" si="3"/>
        <v>100.851234567891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35" zoomScale="80" zoomScaleNormal="80" workbookViewId="0">
      <selection activeCell="D31" sqref="D31:D4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ht="14.45" x14ac:dyDescent="0.35">
      <c r="A1" s="1"/>
      <c r="B1" s="1"/>
      <c r="C1" s="1"/>
      <c r="D1" s="1"/>
      <c r="E1" s="1"/>
      <c r="F1" s="1"/>
      <c r="G1" s="1"/>
      <c r="H1" s="1"/>
      <c r="I1" s="1"/>
      <c r="J1" s="1"/>
    </row>
    <row r="2" spans="1:11" s="1" customFormat="1" ht="14.45" x14ac:dyDescent="0.35"/>
    <row r="3" spans="1:11" s="1" customFormat="1" ht="14.45" x14ac:dyDescent="0.35"/>
    <row r="4" spans="1:11" ht="14.45" x14ac:dyDescent="0.35">
      <c r="A4" s="1"/>
      <c r="B4" s="1"/>
      <c r="C4" s="1"/>
      <c r="D4" s="1"/>
      <c r="E4" s="1"/>
      <c r="F4" s="1"/>
      <c r="G4" s="1"/>
      <c r="H4" s="1"/>
      <c r="I4" s="1"/>
      <c r="J4" s="1"/>
    </row>
    <row r="5" spans="1:11" ht="14.45" x14ac:dyDescent="0.35">
      <c r="A5" s="1"/>
      <c r="B5" s="1"/>
      <c r="C5" s="1"/>
      <c r="D5" s="1"/>
      <c r="E5" s="1"/>
      <c r="F5" s="1"/>
      <c r="G5" s="1"/>
      <c r="H5" s="1"/>
      <c r="I5" s="1"/>
      <c r="J5" s="1"/>
    </row>
    <row r="6" spans="1:11" thickBot="1" x14ac:dyDescent="0.4">
      <c r="A6" s="1"/>
      <c r="B6" s="1"/>
      <c r="C6" s="1"/>
      <c r="D6" s="1"/>
      <c r="E6" s="1"/>
      <c r="F6" s="1"/>
      <c r="G6" s="1"/>
      <c r="H6" s="1"/>
      <c r="I6" s="1"/>
      <c r="J6" s="1"/>
    </row>
    <row r="7" spans="1:11" ht="26.25" thickBot="1" x14ac:dyDescent="0.3">
      <c r="A7" s="1"/>
      <c r="B7" s="1"/>
      <c r="C7" s="298" t="s">
        <v>113</v>
      </c>
      <c r="D7" s="299"/>
      <c r="E7" s="299"/>
      <c r="F7" s="299"/>
      <c r="G7" s="299"/>
      <c r="H7" s="299"/>
      <c r="I7" s="299"/>
      <c r="J7" s="299"/>
      <c r="K7" s="300"/>
    </row>
    <row r="8" spans="1:11" s="1" customFormat="1" thickBot="1" x14ac:dyDescent="0.4">
      <c r="C8" s="39"/>
      <c r="D8" s="39"/>
      <c r="E8" s="40"/>
      <c r="F8" s="40"/>
      <c r="G8" s="40"/>
      <c r="H8" s="40"/>
      <c r="I8" s="50"/>
      <c r="J8" s="40"/>
      <c r="K8" s="40"/>
    </row>
    <row r="9" spans="1:11" ht="21" thickBot="1" x14ac:dyDescent="0.3">
      <c r="A9" s="1"/>
      <c r="B9" s="1"/>
      <c r="C9" s="200" t="s">
        <v>15</v>
      </c>
      <c r="D9" s="201"/>
      <c r="E9" s="201" t="s">
        <v>16</v>
      </c>
      <c r="F9" s="212"/>
      <c r="G9" s="40"/>
      <c r="H9" s="40"/>
      <c r="I9" s="50"/>
      <c r="J9" s="40"/>
      <c r="K9" s="40"/>
    </row>
    <row r="10" spans="1:11" ht="54" customHeight="1" x14ac:dyDescent="0.35">
      <c r="A10" s="1"/>
      <c r="B10" s="1"/>
      <c r="C10" s="213" t="s">
        <v>17</v>
      </c>
      <c r="D10" s="214"/>
      <c r="E10" s="215" t="s">
        <v>18</v>
      </c>
      <c r="F10" s="216"/>
      <c r="G10" s="41"/>
      <c r="H10" s="42">
        <v>1</v>
      </c>
      <c r="I10" s="50"/>
      <c r="J10" s="40"/>
      <c r="K10" s="40"/>
    </row>
    <row r="11" spans="1:11" ht="46.5" customHeight="1" x14ac:dyDescent="0.25">
      <c r="A11" s="1"/>
      <c r="B11" s="1"/>
      <c r="C11" s="202" t="s">
        <v>19</v>
      </c>
      <c r="D11" s="203"/>
      <c r="E11" s="204" t="s">
        <v>114</v>
      </c>
      <c r="F11" s="205"/>
      <c r="G11" s="43" t="s">
        <v>115</v>
      </c>
      <c r="H11" s="42">
        <v>0.75</v>
      </c>
      <c r="I11" s="50"/>
      <c r="J11" s="40"/>
      <c r="K11" s="40"/>
    </row>
    <row r="12" spans="1:11" ht="70.5" customHeight="1" thickBot="1" x14ac:dyDescent="0.4">
      <c r="A12" s="1"/>
      <c r="B12" s="1"/>
      <c r="C12" s="206" t="s">
        <v>21</v>
      </c>
      <c r="D12" s="207"/>
      <c r="E12" s="208" t="s">
        <v>116</v>
      </c>
      <c r="F12" s="209"/>
      <c r="G12" s="44"/>
      <c r="H12" s="42">
        <v>0.25</v>
      </c>
      <c r="I12" s="50"/>
      <c r="J12" s="40"/>
      <c r="K12" s="40"/>
    </row>
    <row r="13" spans="1:11" s="1" customFormat="1" ht="14.45" x14ac:dyDescent="0.35"/>
    <row r="14" spans="1:11" s="1" customFormat="1" ht="14.45" x14ac:dyDescent="0.35"/>
    <row r="15" spans="1:11" s="1" customFormat="1" ht="14.45" x14ac:dyDescent="0.35"/>
    <row r="16" spans="1:11" s="1" customFormat="1" thickBot="1" x14ac:dyDescent="0.4"/>
    <row r="17" spans="1:10" x14ac:dyDescent="0.25">
      <c r="A17" s="1"/>
      <c r="B17" s="1"/>
      <c r="C17" s="290" t="s">
        <v>117</v>
      </c>
      <c r="D17" s="292" t="s">
        <v>118</v>
      </c>
      <c r="E17" s="293"/>
      <c r="F17" s="294" t="s">
        <v>119</v>
      </c>
      <c r="G17" s="296" t="s">
        <v>120</v>
      </c>
      <c r="H17" s="38"/>
      <c r="I17" s="285" t="s">
        <v>121</v>
      </c>
      <c r="J17" s="285" t="s">
        <v>122</v>
      </c>
    </row>
    <row r="18" spans="1:10" ht="36" customHeight="1" thickBot="1" x14ac:dyDescent="0.3">
      <c r="A18" s="1"/>
      <c r="B18" s="1"/>
      <c r="C18" s="291"/>
      <c r="D18" s="122" t="s">
        <v>123</v>
      </c>
      <c r="E18" s="123" t="s">
        <v>27</v>
      </c>
      <c r="F18" s="295"/>
      <c r="G18" s="297"/>
      <c r="H18" s="38"/>
      <c r="I18" s="286"/>
      <c r="J18" s="286"/>
    </row>
    <row r="19" spans="1:10" ht="65.25" customHeight="1" x14ac:dyDescent="0.25">
      <c r="A19" s="1"/>
      <c r="B19" s="1"/>
      <c r="C19" s="141">
        <v>1</v>
      </c>
      <c r="D19" s="287" t="s">
        <v>32</v>
      </c>
      <c r="E19" s="124" t="str">
        <f>+IFERROR(INDEX(Hoja1!$E$2:$E$45,MATCH('Análisis Resultados'!C19,Hoja1!$H$2:$H$45,0)),"")</f>
        <v>Procesos de desvinculación de servidores de acuerdo con lo previsto en la Constitución Política y las leyes</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69">
        <f>+AVERAGE(I19:I30)</f>
        <v>0.875</v>
      </c>
    </row>
    <row r="20" spans="1:10" ht="33.75" x14ac:dyDescent="0.25">
      <c r="A20" s="1"/>
      <c r="B20" s="1"/>
      <c r="C20" s="141">
        <v>2</v>
      </c>
      <c r="D20" s="288"/>
      <c r="E20" s="127" t="str">
        <f>+IFERROR(INDEX(Hoja1!$E$2:$E$45,MATCH('Análisis Resultados'!C20,Hoja1!$H$2:$H$45,0)),"")</f>
        <v>Presentación oportuna de sus informes de gestión a las autoridades competentes</v>
      </c>
      <c r="F20" s="128" t="str">
        <f>+IFERROR(VLOOKUP(C20,Hoja1!$H$2:$I$45,2,0),"")</f>
        <v>En proceso</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43">
        <f t="shared" ref="I20:I62" si="1">+IF(F20="Si",1,IF(F20="En proceso",0.5,0))</f>
        <v>0.5</v>
      </c>
      <c r="J20" s="270"/>
    </row>
    <row r="21" spans="1:10" ht="45" x14ac:dyDescent="0.25">
      <c r="A21" s="1"/>
      <c r="B21" s="1"/>
      <c r="C21" s="141">
        <v>3</v>
      </c>
      <c r="D21" s="288"/>
      <c r="E21" s="127" t="str">
        <f>+IFERROR(INDEX(Hoja1!$E$2:$E$45,MATCH('Análisis Resultados'!C21,Hoja1!$H$2:$H$45,0)),"")</f>
        <v>Documento interno o adopción del MECI actualizado</v>
      </c>
      <c r="F21" s="128" t="str">
        <f>+IFERROR(VLOOKUP(C21,Hoja1!$H$2:$I$45,2,0),"")</f>
        <v>Si</v>
      </c>
      <c r="G21" s="129" t="str">
        <f t="shared" si="0"/>
        <v>Existe requerimiento pero se requiere actividades  dirigidas a su mantenimiento dentro del marco de las lineas de defensa.</v>
      </c>
      <c r="H21" s="18"/>
      <c r="I21" s="143">
        <f t="shared" si="1"/>
        <v>1</v>
      </c>
      <c r="J21" s="270"/>
    </row>
    <row r="22" spans="1:10" ht="56.25" customHeight="1" x14ac:dyDescent="0.25">
      <c r="A22" s="1"/>
      <c r="B22" s="1"/>
      <c r="C22" s="141">
        <v>4</v>
      </c>
      <c r="D22" s="288"/>
      <c r="E22" s="127" t="str">
        <f>+IFERROR(INDEX(Hoja1!$E$2:$E$45,MATCH('Análisis Resultados'!C22,Hoja1!$H$2:$H$45,0)),"")</f>
        <v>Un documento tal como un código de ética, integridad u otro que formalice los estándares de conducta, los principios institucionales o los valores del servicio público</v>
      </c>
      <c r="F22" s="128" t="str">
        <f>+IFERROR(VLOOKUP(C22,Hoja1!$H$2:$I$45,2,0),"")</f>
        <v>Si</v>
      </c>
      <c r="G22" s="129" t="str">
        <f t="shared" si="0"/>
        <v>Existe requerimiento pero se requiere actividades  dirigidas a su mantenimiento dentro del marco de las lineas de defensa.</v>
      </c>
      <c r="H22" s="18"/>
      <c r="I22" s="143">
        <f t="shared" si="1"/>
        <v>1</v>
      </c>
      <c r="J22" s="270"/>
    </row>
    <row r="23" spans="1:10" ht="45" x14ac:dyDescent="0.25">
      <c r="A23" s="1"/>
      <c r="B23" s="1"/>
      <c r="C23" s="141">
        <v>5</v>
      </c>
      <c r="D23" s="288"/>
      <c r="E23" s="127" t="str">
        <f>+IFERROR(INDEX(Hoja1!$E$2:$E$45,MATCH('Análisis Resultados'!C23,Hoja1!$H$2:$H$45,0)),"")</f>
        <v>Planes, programas y proyectos de acuerdo con las normas que rigen y atendiendo con su propósito fundamental institucional (misión)</v>
      </c>
      <c r="F23" s="128" t="str">
        <f>+IFERROR(VLOOKUP(C23,Hoja1!$H$2:$I$45,2,0),"")</f>
        <v>Si</v>
      </c>
      <c r="G23" s="129" t="str">
        <f t="shared" si="0"/>
        <v>Existe requerimiento pero se requiere actividades  dirigidas a su mantenimiento dentro del marco de las lineas de defensa.</v>
      </c>
      <c r="H23" s="18"/>
      <c r="I23" s="143">
        <f t="shared" si="1"/>
        <v>1</v>
      </c>
      <c r="J23" s="270"/>
    </row>
    <row r="24" spans="1:10" ht="45" x14ac:dyDescent="0.25">
      <c r="A24" s="1"/>
      <c r="B24" s="1"/>
      <c r="C24" s="141">
        <v>6</v>
      </c>
      <c r="D24" s="288"/>
      <c r="E24" s="127" t="str">
        <f>+IFERROR(INDEX(Hoja1!$E$2:$E$45,MATCH('Análisis Resultados'!C24,Hoja1!$H$2:$H$45,0)),"")</f>
        <v>Una estructura organizacional formalizada (organigrama)</v>
      </c>
      <c r="F24" s="128" t="str">
        <f>+IFERROR(VLOOKUP(C24,Hoja1!$H$2:$I$45,2,0),"")</f>
        <v>Si</v>
      </c>
      <c r="G24" s="129" t="str">
        <f t="shared" si="0"/>
        <v>Existe requerimiento pero se requiere actividades  dirigidas a su mantenimiento dentro del marco de las lineas de defensa.</v>
      </c>
      <c r="H24" s="18"/>
      <c r="I24" s="143">
        <f t="shared" si="1"/>
        <v>1</v>
      </c>
      <c r="J24" s="270"/>
    </row>
    <row r="25" spans="1:10" ht="45" x14ac:dyDescent="0.25">
      <c r="A25" s="1"/>
      <c r="B25" s="1"/>
      <c r="C25" s="141">
        <v>7</v>
      </c>
      <c r="D25" s="288"/>
      <c r="E25" s="127" t="str">
        <f>+IFERROR(INDEX(Hoja1!$E$2:$E$45,MATCH('Análisis Resultados'!C25,Hoja1!$H$2:$H$45,0)),"")</f>
        <v>Un manual de funciones que describa los empleos de la entidad</v>
      </c>
      <c r="F25" s="128" t="str">
        <f>+IFERROR(VLOOKUP(C25,Hoja1!$H$2:$I$45,2,0),"")</f>
        <v>Si</v>
      </c>
      <c r="G25" s="129" t="str">
        <f t="shared" si="0"/>
        <v>Existe requerimiento pero se requiere actividades  dirigidas a su mantenimiento dentro del marco de las lineas de defensa.</v>
      </c>
      <c r="H25" s="18"/>
      <c r="I25" s="143">
        <f t="shared" si="1"/>
        <v>1</v>
      </c>
      <c r="J25" s="270"/>
    </row>
    <row r="26" spans="1:10" ht="45" x14ac:dyDescent="0.25">
      <c r="A26" s="1"/>
      <c r="B26" s="1"/>
      <c r="C26" s="141">
        <v>8</v>
      </c>
      <c r="D26" s="288"/>
      <c r="E26" s="127" t="str">
        <f>+IFERROR(INDEX(Hoja1!$E$2:$E$45,MATCH('Análisis Resultados'!C26,Hoja1!$H$2:$H$45,0)),"")</f>
        <v>La documentación de sus procesos y procedimientos o bien una lista de actividades principales que permitan conocer el estado de su gestión</v>
      </c>
      <c r="F26" s="128" t="str">
        <f>+IFERROR(VLOOKUP(C26,Hoja1!$H$2:$I$45,2,0),"")</f>
        <v>Si</v>
      </c>
      <c r="G26" s="129" t="str">
        <f t="shared" si="0"/>
        <v>Existe requerimiento pero se requiere actividades  dirigidas a su mantenimiento dentro del marco de las lineas de defensa.</v>
      </c>
      <c r="H26" s="18"/>
      <c r="I26" s="143">
        <f t="shared" si="1"/>
        <v>1</v>
      </c>
      <c r="J26" s="270"/>
    </row>
    <row r="27" spans="1:10" ht="45" x14ac:dyDescent="0.25">
      <c r="A27" s="1"/>
      <c r="B27" s="1"/>
      <c r="C27" s="141">
        <v>9</v>
      </c>
      <c r="D27" s="288"/>
      <c r="E27" s="127" t="str">
        <f>+IFERROR(INDEX(Hoja1!$E$2:$E$45,MATCH('Análisis Resultados'!C27,Hoja1!$H$2:$H$45,0)),"")</f>
        <v>Vinculación de los servidores públicos de acuerdo con el marco normativo que les rige (carrera administrativa, libre nombramiento y remoción, entre otros)</v>
      </c>
      <c r="F27" s="128" t="str">
        <f>+IFERROR(VLOOKUP(C27,Hoja1!$H$2:$I$45,2,0),"")</f>
        <v>Si</v>
      </c>
      <c r="G27" s="129" t="str">
        <f t="shared" si="0"/>
        <v>Existe requerimiento pero se requiere actividades  dirigidas a su mantenimiento dentro del marco de las lineas de defensa.</v>
      </c>
      <c r="H27" s="18"/>
      <c r="I27" s="143">
        <f t="shared" si="1"/>
        <v>1</v>
      </c>
      <c r="J27" s="270"/>
    </row>
    <row r="28" spans="1:10" ht="45" x14ac:dyDescent="0.25">
      <c r="A28" s="1"/>
      <c r="B28" s="1"/>
      <c r="C28" s="141">
        <v>10</v>
      </c>
      <c r="D28" s="288"/>
      <c r="E28" s="127" t="str">
        <f>+IFERROR(INDEX(Hoja1!$E$2:$E$45,MATCH('Análisis Resultados'!C28,Hoja1!$H$2:$H$45,0)),"")</f>
        <v>Procesos de inducción, capacitación y bienestar social para sus servidores públicos, de manera directa o en asociación con otras entidades municipales</v>
      </c>
      <c r="F28" s="128" t="str">
        <f>+IFERROR(VLOOKUP(C28,Hoja1!$H$2:$I$45,2,0),"")</f>
        <v>Si</v>
      </c>
      <c r="G28" s="129" t="str">
        <f t="shared" si="0"/>
        <v>Existe requerimiento pero se requiere actividades  dirigidas a su mantenimiento dentro del marco de las lineas de defensa.</v>
      </c>
      <c r="H28" s="18"/>
      <c r="I28" s="143">
        <f t="shared" si="1"/>
        <v>1</v>
      </c>
      <c r="J28" s="270"/>
    </row>
    <row r="29" spans="1:10" ht="45" x14ac:dyDescent="0.25">
      <c r="A29" s="1"/>
      <c r="B29" s="1"/>
      <c r="C29" s="141">
        <v>11</v>
      </c>
      <c r="D29" s="288"/>
      <c r="E29" s="127" t="str">
        <f>+IFERROR(INDEX(Hoja1!$E$2:$E$45,MATCH('Análisis Resultados'!C29,Hoja1!$H$2:$H$45,0)),"")</f>
        <v>Evaluación a los servidores públicos de acuerdo con el marco normativo que le rige</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70"/>
    </row>
    <row r="30" spans="1:10" ht="45.75" thickBot="1" x14ac:dyDescent="0.3">
      <c r="A30" s="1"/>
      <c r="B30" s="1"/>
      <c r="C30" s="141">
        <v>12</v>
      </c>
      <c r="D30" s="289"/>
      <c r="E30" s="130" t="str">
        <f>+IFERROR(INDEX(Hoja1!$E$2:$E$45,MATCH('Análisis Resultados'!C30,Hoja1!$H$2:$H$45,0)),"")</f>
        <v>Mecanismos de rendición de cuentas a la ciudadanía</v>
      </c>
      <c r="F30" s="131" t="str">
        <f>+IFERROR(VLOOKUP(C30,Hoja1!$H$2:$I$45,2,0),"")</f>
        <v>Si</v>
      </c>
      <c r="G30" s="132" t="str">
        <f t="shared" si="0"/>
        <v>Existe requerimiento pero se requiere actividades  dirigidas a su mantenimiento dentro del marco de las lineas de defensa.</v>
      </c>
      <c r="H30" s="18"/>
      <c r="I30" s="144">
        <f t="shared" si="1"/>
        <v>1</v>
      </c>
      <c r="J30" s="271"/>
    </row>
    <row r="31" spans="1:10" ht="45" customHeight="1" x14ac:dyDescent="0.25">
      <c r="A31" s="1"/>
      <c r="B31" s="1"/>
      <c r="C31" s="141">
        <v>13</v>
      </c>
      <c r="D31" s="283" t="s">
        <v>61</v>
      </c>
      <c r="E31" s="124" t="str">
        <f>+IFERROR(INDEX(Hoja1!$E$2:$E$45,MATCH('Análisis Resultados'!C31,Hoja1!$H$2:$H$45,0)),"")</f>
        <v>Hacen seguimiento a los problemas (riesgos)  que pueden afectar el cumplimiento de sus procesos, programas o proyectos a cargo</v>
      </c>
      <c r="F31" s="125" t="str">
        <f>+IFERROR(VLOOKUP(C31,Hoja1!$H$2:$I$45,2,0),"")</f>
        <v>No</v>
      </c>
      <c r="G31" s="126" t="str">
        <f t="shared" si="0"/>
        <v>No se encuentra el aspecto  por lo tanto la entidad debera generar acciones dirigidas a que se cumpla con el requerimiento.</v>
      </c>
      <c r="H31" s="18"/>
      <c r="I31" s="142">
        <f t="shared" si="1"/>
        <v>0</v>
      </c>
      <c r="J31" s="267">
        <f>+AVERAGE(I31:I40)</f>
        <v>0.75</v>
      </c>
    </row>
    <row r="32" spans="1:10" ht="57" customHeight="1" x14ac:dyDescent="0.25">
      <c r="A32" s="1"/>
      <c r="B32" s="1"/>
      <c r="C32" s="141">
        <v>14</v>
      </c>
      <c r="D32" s="284"/>
      <c r="E32" s="127" t="str">
        <f>+IFERROR(INDEX(Hoja1!$E$2:$E$45,MATCH('Análisis Resultados'!C32,Hoja1!$H$2:$H$45,0)),"")</f>
        <v>Informan de manera periódica a quien corresponda sobre el desempeño de las actividades de gestión de riesgos</v>
      </c>
      <c r="F32" s="128" t="str">
        <f>+IFERROR(VLOOKUP(C32,Hoja1!$H$2:$I$45,2,0),"")</f>
        <v>No</v>
      </c>
      <c r="G32" s="129" t="str">
        <f t="shared" si="0"/>
        <v>No se encuentra el aspecto  por lo tanto la entidad debera generar acciones dirigidas a que se cumpla con el requerimiento.</v>
      </c>
      <c r="H32" s="18"/>
      <c r="I32" s="143">
        <f t="shared" si="1"/>
        <v>0</v>
      </c>
      <c r="J32" s="268"/>
    </row>
    <row r="33" spans="1:10" ht="54" customHeight="1" x14ac:dyDescent="0.25">
      <c r="A33" s="1"/>
      <c r="B33" s="1"/>
      <c r="C33" s="141">
        <v>15</v>
      </c>
      <c r="D33" s="284"/>
      <c r="E33" s="127" t="str">
        <f>+IFERROR(INDEX(Hoja1!$E$2:$E$45,MATCH('Análisis Resultados'!C33,Hoja1!$H$2:$H$45,0)),"")</f>
        <v>Si su capacidad e infraestructura lo permite, identificación de riesgos asociados a las tecnologías de la información y las comunicaciones</v>
      </c>
      <c r="F33" s="128" t="str">
        <f>+IFERROR(VLOOKUP(C33,Hoja1!$H$2:$I$45,2,0),"")</f>
        <v>En proceso</v>
      </c>
      <c r="G33" s="129" t="str">
        <f t="shared" si="0"/>
        <v>Se encuentra en proceso, pero requiere continuar con acciones dirigidas a contar con dicho aspecto de control.</v>
      </c>
      <c r="H33" s="18"/>
      <c r="I33" s="143">
        <f t="shared" si="1"/>
        <v>0.5</v>
      </c>
      <c r="J33" s="268"/>
    </row>
    <row r="34" spans="1:10" ht="45" x14ac:dyDescent="0.25">
      <c r="A34" s="1"/>
      <c r="B34" s="1"/>
      <c r="C34" s="141">
        <v>16</v>
      </c>
      <c r="D34" s="284"/>
      <c r="E34" s="127" t="str">
        <f>+IFERROR(INDEX(Hoja1!$E$2:$E$45,MATCH('Análisis Resultados'!C34,Hoja1!$H$2:$H$45,0)),"")</f>
        <v>La identificación de cambios en su entorno que pueden generar consecuencias negativas en su gestión</v>
      </c>
      <c r="F34" s="128" t="str">
        <f>+IFERROR(VLOOKUP(C34,Hoja1!$H$2:$I$45,2,0),"")</f>
        <v>Si</v>
      </c>
      <c r="G34" s="129" t="str">
        <f t="shared" si="0"/>
        <v>Existe requerimiento pero se requiere actividades  dirigidas a su mantenimiento dentro del marco de las lineas de defensa.</v>
      </c>
      <c r="H34" s="18"/>
      <c r="I34" s="143">
        <f t="shared" si="1"/>
        <v>1</v>
      </c>
      <c r="J34" s="268"/>
    </row>
    <row r="35" spans="1:10" ht="67.5" customHeight="1" x14ac:dyDescent="0.25">
      <c r="A35" s="1"/>
      <c r="B35" s="1"/>
      <c r="C35" s="141">
        <v>17</v>
      </c>
      <c r="D35" s="284"/>
      <c r="E35" s="127" t="str">
        <f>+IFERROR(INDEX(Hoja1!$E$2:$E$45,MATCH('Análisis Resultados'!C35,Hoja1!$H$2:$H$45,0)),"")</f>
        <v>La identificación de aquellos problemas o aspectos que pueden afectar el cumplimiento de los planes de la entidad y en general su gestión institucional (riesgos)</v>
      </c>
      <c r="F35" s="128" t="str">
        <f>+IFERROR(VLOOKUP(C35,Hoja1!$H$2:$I$45,2,0),"")</f>
        <v>Si</v>
      </c>
      <c r="G35" s="129" t="str">
        <f t="shared" si="0"/>
        <v>Existe requerimiento pero se requiere actividades  dirigidas a su mantenimiento dentro del marco de las lineas de defensa.</v>
      </c>
      <c r="H35" s="18"/>
      <c r="I35" s="143">
        <f t="shared" si="1"/>
        <v>1</v>
      </c>
      <c r="J35" s="268"/>
    </row>
    <row r="36" spans="1:10" ht="45" x14ac:dyDescent="0.25">
      <c r="A36" s="1"/>
      <c r="B36" s="1"/>
      <c r="C36" s="141">
        <v>18</v>
      </c>
      <c r="D36" s="284"/>
      <c r="E36" s="127" t="str">
        <f>+IFERROR(INDEX(Hoja1!$E$2:$E$45,MATCH('Análisis Resultados'!C36,Hoja1!$H$2:$H$45,0)),"")</f>
        <v>La identificación  de los riesgos relacionados con posibles actos de corrupción en el ejercicio de sus funciones</v>
      </c>
      <c r="F36" s="128" t="str">
        <f>+IFERROR(VLOOKUP(C36,Hoja1!$H$2:$I$45,2,0),"")</f>
        <v>Si</v>
      </c>
      <c r="G36" s="129" t="str">
        <f t="shared" si="0"/>
        <v>Existe requerimiento pero se requiere actividades  dirigidas a su mantenimiento dentro del marco de las lineas de defensa.</v>
      </c>
      <c r="H36" s="18"/>
      <c r="I36" s="143">
        <f t="shared" si="1"/>
        <v>1</v>
      </c>
      <c r="J36" s="268"/>
    </row>
    <row r="37" spans="1:10" ht="57" customHeight="1" x14ac:dyDescent="0.25">
      <c r="A37" s="1"/>
      <c r="B37" s="1"/>
      <c r="C37" s="141">
        <v>19</v>
      </c>
      <c r="D37" s="284"/>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Si</v>
      </c>
      <c r="G37" s="129" t="str">
        <f t="shared" si="0"/>
        <v>Existe requerimiento pero se requiere actividades  dirigidas a su mantenimiento dentro del marco de las lineas de defensa.</v>
      </c>
      <c r="H37" s="18"/>
      <c r="I37" s="143">
        <f t="shared" si="1"/>
        <v>1</v>
      </c>
      <c r="J37" s="268"/>
    </row>
    <row r="38" spans="1:10" ht="45" x14ac:dyDescent="0.25">
      <c r="A38" s="1"/>
      <c r="B38" s="1"/>
      <c r="C38" s="141">
        <v>20</v>
      </c>
      <c r="D38" s="284"/>
      <c r="E38" s="127" t="str">
        <f>+IFERROR(INDEX(Hoja1!$E$2:$E$45,MATCH('Análisis Resultados'!C38,Hoja1!$H$2:$H$45,0)),"")</f>
        <v>Se definen espacios de reunión para conocerlos y proponer acciones para su solución</v>
      </c>
      <c r="F38" s="128" t="str">
        <f>+IFERROR(VLOOKUP(C38,Hoja1!$H$2:$I$45,2,0),"")</f>
        <v>Si</v>
      </c>
      <c r="G38" s="129" t="str">
        <f t="shared" si="0"/>
        <v>Existe requerimiento pero se requiere actividades  dirigidas a su mantenimiento dentro del marco de las lineas de defensa.</v>
      </c>
      <c r="H38" s="18"/>
      <c r="I38" s="143">
        <f t="shared" si="1"/>
        <v>1</v>
      </c>
      <c r="J38" s="268"/>
    </row>
    <row r="39" spans="1:10" ht="45" x14ac:dyDescent="0.25">
      <c r="A39" s="1"/>
      <c r="B39" s="1"/>
      <c r="C39" s="141">
        <v>21</v>
      </c>
      <c r="D39" s="284"/>
      <c r="E39" s="127" t="str">
        <f>+IFERROR(INDEX(Hoja1!$E$2:$E$45,MATCH('Análisis Resultados'!C39,Hoja1!$H$2:$H$45,0)),"")</f>
        <v>Cada líder del equipo autónomamente toma las acciones para solucionarlos.</v>
      </c>
      <c r="F39" s="128" t="str">
        <f>+IFERROR(VLOOKUP(C39,Hoja1!$H$2:$I$45,2,0),"")</f>
        <v>Si</v>
      </c>
      <c r="G39" s="129" t="str">
        <f t="shared" si="0"/>
        <v>Existe requerimiento pero se requiere actividades  dirigidas a su mantenimiento dentro del marco de las lineas de defensa.</v>
      </c>
      <c r="H39" s="18"/>
      <c r="I39" s="143">
        <f t="shared" si="1"/>
        <v>1</v>
      </c>
      <c r="J39" s="268"/>
    </row>
    <row r="40" spans="1:10" ht="45.75" thickBot="1" x14ac:dyDescent="0.3">
      <c r="A40" s="1"/>
      <c r="B40" s="1"/>
      <c r="C40" s="141">
        <v>22</v>
      </c>
      <c r="D40" s="284"/>
      <c r="E40" s="133" t="str">
        <f>+IFERROR(INDEX(Hoja1!$E$2:$E$45,MATCH('Análisis Resultados'!C40,Hoja1!$H$2:$H$45,0)),"")</f>
        <v>Solamente hasta que un organismo de control actúa se definen acciones de mejora.</v>
      </c>
      <c r="F40" s="134" t="str">
        <f>+IFERROR(VLOOKUP(C40,Hoja1!$H$2:$I$45,2,0),"")</f>
        <v>Si</v>
      </c>
      <c r="G40" s="135" t="str">
        <f t="shared" si="0"/>
        <v>Existe requerimiento pero se requiere actividades  dirigidas a su mantenimiento dentro del marco de las lineas de defensa.</v>
      </c>
      <c r="H40" s="18"/>
      <c r="I40" s="145">
        <f t="shared" si="1"/>
        <v>1</v>
      </c>
      <c r="J40" s="268"/>
    </row>
    <row r="41" spans="1:10" ht="87.75" customHeight="1" x14ac:dyDescent="0.25">
      <c r="A41" s="1"/>
      <c r="B41" s="1"/>
      <c r="C41" s="141">
        <v>23</v>
      </c>
      <c r="D41" s="279" t="s">
        <v>79</v>
      </c>
      <c r="E41" s="124" t="str">
        <f>+IFERROR(INDEX(Hoja1!$E$2:$E$45,MATCH('Análisis Resultados'!C41,Hoja1!$H$2:$H$45,0)),"")</f>
        <v>Mecanismos de verificación de si se están o no mitigando los riesgos, o en su defecto, elaboración de planes de contingencia para subsanar sus consecuencias</v>
      </c>
      <c r="F41" s="125" t="str">
        <f>+IFERROR(VLOOKUP(C41,Hoja1!$H$2:$I$45,2,0),"")</f>
        <v>En proceso</v>
      </c>
      <c r="G41" s="126" t="str">
        <f t="shared" si="0"/>
        <v>Se encuentra en proceso, pero requiere continuar con acciones dirigidas a contar con dicho aspecto de control.</v>
      </c>
      <c r="H41" s="18"/>
      <c r="I41" s="142">
        <f t="shared" si="1"/>
        <v>0.5</v>
      </c>
      <c r="J41" s="267">
        <f>+AVERAGE(I41:I45)</f>
        <v>0.8</v>
      </c>
    </row>
    <row r="42" spans="1:10" ht="42.75" x14ac:dyDescent="0.25">
      <c r="A42" s="1"/>
      <c r="B42" s="1"/>
      <c r="C42" s="141">
        <v>24</v>
      </c>
      <c r="D42" s="280"/>
      <c r="E42" s="127" t="str">
        <f>+IFERROR(INDEX(Hoja1!$E$2:$E$45,MATCH('Análisis Resultados'!C42,Hoja1!$H$2:$H$45,0)),"")</f>
        <v>Planes, acciones o estrategias que permitan subsanar las consecuencias de la materialización de los riesgos, cuando se presentan</v>
      </c>
      <c r="F42" s="128" t="str">
        <f>+IFERROR(VLOOKUP(C42,Hoja1!$H$2:$I$45,2,0),"")</f>
        <v>En proceso</v>
      </c>
      <c r="G42" s="129" t="str">
        <f t="shared" si="0"/>
        <v>Se encuentra en proceso, pero requiere continuar con acciones dirigidas a contar con dicho aspecto de control.</v>
      </c>
      <c r="H42" s="18"/>
      <c r="I42" s="143">
        <f t="shared" si="1"/>
        <v>0.5</v>
      </c>
      <c r="J42" s="268"/>
    </row>
    <row r="43" spans="1:10" ht="85.5" customHeight="1" x14ac:dyDescent="0.25">
      <c r="A43" s="1"/>
      <c r="B43" s="1"/>
      <c r="C43" s="141">
        <v>25</v>
      </c>
      <c r="D43" s="280"/>
      <c r="E43" s="127" t="str">
        <f>+IFERROR(INDEX(Hoja1!$E$2:$E$45,MATCH('Análisis Resultados'!C43,Hoja1!$H$2:$H$45,0)),"")</f>
        <v>La definición de acciones o actividades para para dar tratamiento a los problemas identificados (mitigación de riesgos), incluyendo aquellos asociados a posibles actos de corrupción</v>
      </c>
      <c r="F43" s="128" t="str">
        <f>+IFERROR(VLOOKUP(C43,Hoja1!$H$2:$I$45,2,0),"")</f>
        <v>Si</v>
      </c>
      <c r="G43" s="129" t="str">
        <f t="shared" si="0"/>
        <v>Existe requerimiento pero se requiere actividades  dirigidas a su mantenimiento dentro del marco de las lineas de defensa.</v>
      </c>
      <c r="H43" s="18"/>
      <c r="I43" s="143">
        <f t="shared" si="1"/>
        <v>1</v>
      </c>
      <c r="J43" s="268"/>
    </row>
    <row r="44" spans="1:10" ht="57" customHeight="1" x14ac:dyDescent="0.25">
      <c r="A44" s="1"/>
      <c r="B44" s="1"/>
      <c r="C44" s="141">
        <v>26</v>
      </c>
      <c r="D44" s="280"/>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68"/>
    </row>
    <row r="45" spans="1:10" ht="57" customHeight="1" thickBot="1" x14ac:dyDescent="0.3">
      <c r="A45" s="1"/>
      <c r="B45" s="1"/>
      <c r="C45" s="141">
        <v>27</v>
      </c>
      <c r="D45" s="281"/>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82"/>
    </row>
    <row r="46" spans="1:10" ht="63.75" customHeight="1" x14ac:dyDescent="0.25">
      <c r="A46" s="1"/>
      <c r="B46" s="1"/>
      <c r="C46" s="141">
        <v>28</v>
      </c>
      <c r="D46" s="278" t="s">
        <v>87</v>
      </c>
      <c r="E46" s="136" t="str">
        <f>+IFERROR(INDEX(Hoja1!$E$2:$E$45,MATCH('Análisis Resultados'!C46,Hoja1!$H$2:$H$45,0)),"")</f>
        <v xml:space="preserve">Lineamientos para dar tratamiento a la información de carácter reservado </v>
      </c>
      <c r="F46" s="137" t="str">
        <f>+IFERROR(VLOOKUP(C46,Hoja1!$H$2:$I$45,2,0),"")</f>
        <v>No</v>
      </c>
      <c r="G46" s="138" t="str">
        <f t="shared" si="0"/>
        <v>No se encuentra el aspecto  por lo tanto la entidad debera generar acciones dirigidas a que se cumpla con el requerimiento.</v>
      </c>
      <c r="H46" s="18"/>
      <c r="I46" s="146">
        <f t="shared" si="1"/>
        <v>0</v>
      </c>
      <c r="J46" s="268">
        <f>+AVERAGE(I46:I52)</f>
        <v>0.7857142857142857</v>
      </c>
    </row>
    <row r="47" spans="1:10" ht="92.25" customHeight="1" x14ac:dyDescent="0.25">
      <c r="A47" s="1"/>
      <c r="B47" s="1"/>
      <c r="C47" s="141">
        <v>29</v>
      </c>
      <c r="D47" s="278"/>
      <c r="E47" s="127" t="str">
        <f>+IFERROR(INDEX(Hoja1!$E$2:$E$45,MATCH('Análisis Resultados'!C47,Hoja1!$H$2:$H$45,0)),"")</f>
        <v>Si su capacidad e infraestructura lo permite, tecnologías de la información y las comunicaciones que soporten estos procesos</v>
      </c>
      <c r="F47" s="128" t="str">
        <f>+IFERROR(VLOOKUP(C47,Hoja1!$H$2:$I$45,2,0),"")</f>
        <v>En proceso</v>
      </c>
      <c r="G47" s="139" t="str">
        <f t="shared" si="0"/>
        <v>Se encuentra en proceso, pero requiere continuar con acciones dirigidas a contar con dicho aspecto de control.</v>
      </c>
      <c r="H47" s="18"/>
      <c r="I47" s="147">
        <f t="shared" si="1"/>
        <v>0.5</v>
      </c>
      <c r="J47" s="268"/>
    </row>
    <row r="48" spans="1:10" ht="66.75" customHeight="1" x14ac:dyDescent="0.25">
      <c r="A48" s="1"/>
      <c r="B48" s="1"/>
      <c r="C48" s="141">
        <v>30</v>
      </c>
      <c r="D48" s="278"/>
      <c r="E48" s="127" t="str">
        <f>+IFERROR(INDEX(Hoja1!$E$2:$E$45,MATCH('Análisis Resultados'!C48,Hoja1!$H$2:$H$45,0)),"")</f>
        <v>Responsables de la información institucional</v>
      </c>
      <c r="F48" s="128" t="str">
        <f>+IFERROR(VLOOKUP(C48,Hoja1!$H$2:$I$45,2,0),"")</f>
        <v>Si</v>
      </c>
      <c r="G48" s="139" t="str">
        <f t="shared" si="0"/>
        <v>Existe requerimiento pero se requiere actividades  dirigidas a su mantenimiento dentro del marco de las lineas de defensa.</v>
      </c>
      <c r="H48" s="18"/>
      <c r="I48" s="147">
        <f t="shared" si="1"/>
        <v>1</v>
      </c>
      <c r="J48" s="268"/>
    </row>
    <row r="49" spans="1:10" ht="60" customHeight="1" x14ac:dyDescent="0.25">
      <c r="A49" s="1"/>
      <c r="B49" s="1"/>
      <c r="C49" s="141">
        <v>31</v>
      </c>
      <c r="D49" s="278"/>
      <c r="E49" s="127" t="str">
        <f>+IFERROR(INDEX(Hoja1!$E$2:$E$45,MATCH('Análisis Resultados'!C49,Hoja1!$H$2:$H$45,0)),"")</f>
        <v>Canales de comunicación con los ciudadanos</v>
      </c>
      <c r="F49" s="128" t="str">
        <f>+IFERROR(VLOOKUP(C49,Hoja1!$H$2:$I$45,2,0),"")</f>
        <v>Si</v>
      </c>
      <c r="G49" s="139" t="str">
        <f t="shared" si="0"/>
        <v>Existe requerimiento pero se requiere actividades  dirigidas a su mantenimiento dentro del marco de las lineas de defensa.</v>
      </c>
      <c r="H49" s="18"/>
      <c r="I49" s="147">
        <f t="shared" si="1"/>
        <v>1</v>
      </c>
      <c r="J49" s="268"/>
    </row>
    <row r="50" spans="1:10" ht="57" customHeight="1" x14ac:dyDescent="0.25">
      <c r="A50" s="1"/>
      <c r="B50" s="1"/>
      <c r="C50" s="141">
        <v>32</v>
      </c>
      <c r="D50" s="278"/>
      <c r="E50" s="127" t="str">
        <f>+IFERROR(INDEX(Hoja1!$E$2:$E$45,MATCH('Análisis Resultados'!C50,Hoja1!$H$2:$H$45,0)),"")</f>
        <v>Canales de comunicación o mecanismos de reporte de información a otros organismos gubernamentales o de control</v>
      </c>
      <c r="F50" s="128" t="str">
        <f>+IFERROR(VLOOKUP(C50,Hoja1!$H$2:$I$45,2,0),"")</f>
        <v>Si</v>
      </c>
      <c r="G50" s="139" t="str">
        <f t="shared" si="0"/>
        <v>Existe requerimiento pero se requiere actividades  dirigidas a su mantenimiento dentro del marco de las lineas de defensa.</v>
      </c>
      <c r="H50" s="18"/>
      <c r="I50" s="147">
        <f t="shared" si="1"/>
        <v>1</v>
      </c>
      <c r="J50" s="268"/>
    </row>
    <row r="51" spans="1:10" ht="57" customHeight="1" x14ac:dyDescent="0.25">
      <c r="A51" s="1"/>
      <c r="B51" s="1"/>
      <c r="C51" s="141">
        <v>33</v>
      </c>
      <c r="D51" s="278"/>
      <c r="E51" s="127" t="str">
        <f>+IFERROR(INDEX(Hoja1!$E$2:$E$45,MATCH('Análisis Resultados'!C51,Hoja1!$H$2:$H$45,0)),"")</f>
        <v>Identificación de información que produce en el marco de su gestión (Para los ciudadanos, organismos de control, organismos gubernamentales, entre otros)</v>
      </c>
      <c r="F51" s="128" t="str">
        <f>+IFERROR(VLOOKUP(C51,Hoja1!$H$2:$I$45,2,0),"")</f>
        <v>Si</v>
      </c>
      <c r="G51" s="139" t="str">
        <f t="shared" si="0"/>
        <v>Existe requerimiento pero se requiere actividades  dirigidas a su mantenimiento dentro del marco de las lineas de defensa.</v>
      </c>
      <c r="H51" s="18"/>
      <c r="I51" s="147">
        <f t="shared" si="1"/>
        <v>1</v>
      </c>
      <c r="J51" s="268"/>
    </row>
    <row r="52" spans="1:10" ht="45.75" thickBot="1" x14ac:dyDescent="0.3">
      <c r="A52" s="1"/>
      <c r="B52" s="1"/>
      <c r="C52" s="141">
        <v>34</v>
      </c>
      <c r="D52" s="278"/>
      <c r="E52" s="133" t="str">
        <f>+IFERROR(INDEX(Hoja1!$E$2:$E$45,MATCH('Análisis Resultados'!C52,Hoja1!$H$2:$H$45,0)),"")</f>
        <v>Identificación de información necesaria para la operación de la entidad (normograma, presupuesto, talento humano, infraestructura física y tecnológica)</v>
      </c>
      <c r="F52" s="134" t="str">
        <f>+IFERROR(VLOOKUP(C52,Hoja1!$H$2:$I$45,2,0),"")</f>
        <v>Si</v>
      </c>
      <c r="G52" s="140" t="str">
        <f t="shared" si="0"/>
        <v>Existe requerimiento pero se requiere actividades  dirigidas a su mantenimiento dentro del marco de las lineas de defensa.</v>
      </c>
      <c r="H52" s="18"/>
      <c r="I52" s="148">
        <f t="shared" si="1"/>
        <v>1</v>
      </c>
      <c r="J52" s="268"/>
    </row>
    <row r="53" spans="1:10" ht="41.25" customHeight="1" x14ac:dyDescent="0.25">
      <c r="A53" s="1"/>
      <c r="B53" s="1"/>
      <c r="C53" s="141">
        <v>35</v>
      </c>
      <c r="D53" s="272" t="s">
        <v>97</v>
      </c>
      <c r="E53" s="124" t="str">
        <f>+IFERROR(INDEX(Hoja1!$E$2:$E$45,MATCH('Análisis Resultados'!C53,Hoja1!$H$2:$H$45,0)),"")</f>
        <v>Medidas correctivas en caso de detectarse deficiencias en los ejercicios de evaluación, seguimiento o auditoría</v>
      </c>
      <c r="F53" s="125" t="str">
        <f>+IFERROR(VLOOKUP(C53,Hoja1!$H$2:$I$45,2,0),"")</f>
        <v>En proceso</v>
      </c>
      <c r="G53" s="126" t="str">
        <f t="shared" si="0"/>
        <v>Se encuentra en proceso, pero requiere continuar con acciones dirigidas a contar con dicho aspecto de control.</v>
      </c>
      <c r="H53" s="18"/>
      <c r="I53" s="142">
        <f t="shared" si="1"/>
        <v>0.5</v>
      </c>
      <c r="J53" s="275">
        <f>+AVERAGE(I53:I62)</f>
        <v>0.7</v>
      </c>
    </row>
    <row r="54" spans="1:10" ht="58.5" customHeight="1" x14ac:dyDescent="0.25">
      <c r="A54" s="1"/>
      <c r="B54" s="1"/>
      <c r="C54" s="141">
        <v>36</v>
      </c>
      <c r="D54" s="273"/>
      <c r="E54" s="127" t="str">
        <f>+IFERROR(INDEX(Hoja1!$E$2:$E$45,MATCH('Análisis Resultados'!C54,Hoja1!$H$2:$H$45,0)),"")</f>
        <v>Evitar que los problemas (riesgos) obstaculicen el cumplimiento de los objetivos.</v>
      </c>
      <c r="F54" s="128" t="str">
        <f>+IFERROR(VLOOKUP(C54,Hoja1!$H$2:$I$45,2,0),"")</f>
        <v>En proceso</v>
      </c>
      <c r="G54" s="129" t="str">
        <f t="shared" si="0"/>
        <v>Se encuentra en proceso, pero requiere continuar con acciones dirigidas a contar con dicho aspecto de control.</v>
      </c>
      <c r="H54" s="18"/>
      <c r="I54" s="143">
        <f t="shared" si="1"/>
        <v>0.5</v>
      </c>
      <c r="J54" s="276"/>
    </row>
    <row r="55" spans="1:10" s="1" customFormat="1" ht="84.75" customHeight="1" x14ac:dyDescent="0.25">
      <c r="C55" s="141">
        <v>37</v>
      </c>
      <c r="D55" s="273"/>
      <c r="E55" s="127" t="str">
        <f>+IFERROR(INDEX(Hoja1!$E$2:$E$45,MATCH('Análisis Resultados'!C55,Hoja1!$H$2:$H$45,0)),"")</f>
        <v>Controlar los puntos críticos en los procesos.</v>
      </c>
      <c r="F55" s="128" t="str">
        <f>+IFERROR(VLOOKUP(C55,Hoja1!$H$2:$I$45,2,0),"")</f>
        <v>En proceso</v>
      </c>
      <c r="G55" s="129" t="str">
        <f t="shared" si="0"/>
        <v>Se encuentra en proceso, pero requiere continuar con acciones dirigidas a contar con dicho aspecto de control.</v>
      </c>
      <c r="H55" s="6"/>
      <c r="I55" s="143">
        <f t="shared" si="1"/>
        <v>0.5</v>
      </c>
      <c r="J55" s="276"/>
    </row>
    <row r="56" spans="1:10" s="1" customFormat="1" ht="78.75" customHeight="1" x14ac:dyDescent="0.25">
      <c r="C56" s="141">
        <v>38</v>
      </c>
      <c r="D56" s="273"/>
      <c r="E56" s="127" t="str">
        <f>+IFERROR(INDEX(Hoja1!$E$2:$E$45,MATCH('Análisis Resultados'!C56,Hoja1!$H$2:$H$45,0)),"")</f>
        <v>Diseñar acciones adecuadas para controlar los problemas que afectan el cumplimiento de las metas y objetivos institucionales (riesgos).</v>
      </c>
      <c r="F56" s="128" t="str">
        <f>+IFERROR(VLOOKUP(C56,Hoja1!$H$2:$I$45,2,0),"")</f>
        <v>En proceso</v>
      </c>
      <c r="G56" s="129" t="str">
        <f t="shared" si="0"/>
        <v>Se encuentra en proceso, pero requiere continuar con acciones dirigidas a contar con dicho aspecto de control.</v>
      </c>
      <c r="H56" s="6"/>
      <c r="I56" s="143">
        <f t="shared" si="1"/>
        <v>0.5</v>
      </c>
      <c r="J56" s="276"/>
    </row>
    <row r="57" spans="1:10" s="1" customFormat="1" ht="54.75" customHeight="1" x14ac:dyDescent="0.25">
      <c r="C57" s="141">
        <v>39</v>
      </c>
      <c r="D57" s="273"/>
      <c r="E57" s="127" t="str">
        <f>+IFERROR(INDEX(Hoja1!$E$2:$E$45,MATCH('Análisis Resultados'!C57,Hoja1!$H$2:$H$45,0)),"")</f>
        <v>Ejecutar las acciones de acuerdo a como se diseñaron previamente.</v>
      </c>
      <c r="F57" s="128" t="str">
        <f>+IFERROR(VLOOKUP(C57,Hoja1!$H$2:$I$45,2,0),"")</f>
        <v>En proceso</v>
      </c>
      <c r="G57" s="129" t="str">
        <f t="shared" si="0"/>
        <v>Se encuentra en proceso, pero requiere continuar con acciones dirigidas a contar con dicho aspecto de control.</v>
      </c>
      <c r="H57" s="6"/>
      <c r="I57" s="143">
        <f t="shared" si="1"/>
        <v>0.5</v>
      </c>
      <c r="J57" s="276"/>
    </row>
    <row r="58" spans="1:10" s="1" customFormat="1" ht="68.25" customHeight="1" x14ac:dyDescent="0.25">
      <c r="C58" s="141">
        <v>40</v>
      </c>
      <c r="D58" s="273"/>
      <c r="E58" s="127" t="str">
        <f>+IFERROR(INDEX(Hoja1!$E$2:$E$45,MATCH('Análisis Resultados'!C58,Hoja1!$H$2:$H$45,0)),"")</f>
        <v>No se gestionan los problemas que afectan el cumplimiento de las funciones y objetivos institucionales(riesgos).</v>
      </c>
      <c r="F58" s="128" t="str">
        <f>+IFERROR(VLOOKUP(C58,Hoja1!$H$2:$I$45,2,0),"")</f>
        <v>En proceso</v>
      </c>
      <c r="G58" s="129" t="str">
        <f t="shared" si="0"/>
        <v>Se encuentra en proceso, pero requiere continuar con acciones dirigidas a contar con dicho aspecto de control.</v>
      </c>
      <c r="H58" s="6"/>
      <c r="I58" s="143">
        <f t="shared" si="1"/>
        <v>0.5</v>
      </c>
      <c r="J58" s="276"/>
    </row>
    <row r="59" spans="1:10" s="1" customFormat="1" ht="45" customHeight="1" x14ac:dyDescent="0.25">
      <c r="C59" s="141">
        <v>41</v>
      </c>
      <c r="D59" s="273"/>
      <c r="E59" s="127" t="str">
        <f>+IFERROR(INDEX(Hoja1!$E$2:$E$45,MATCH('Análisis Resultados'!C59,Hoja1!$H$2:$H$45,0)),"")</f>
        <v>Mecanismos de evaluación de la gestión (cronogramas, indicadores, listas de chequeo u otros)</v>
      </c>
      <c r="F59" s="128" t="str">
        <f>+IFERROR(VLOOKUP(C59,Hoja1!$H$2:$I$45,2,0),"")</f>
        <v>Si</v>
      </c>
      <c r="G59" s="129" t="str">
        <f t="shared" si="0"/>
        <v>Existe requerimiento pero se requiere actividades  dirigidas a su mantenimiento dentro del marco de las lineas de defensa.</v>
      </c>
      <c r="H59" s="6"/>
      <c r="I59" s="143">
        <f t="shared" si="1"/>
        <v>1</v>
      </c>
      <c r="J59" s="276"/>
    </row>
    <row r="60" spans="1:10" s="1" customFormat="1" ht="51.75" customHeight="1" x14ac:dyDescent="0.25">
      <c r="C60" s="141">
        <v>42</v>
      </c>
      <c r="D60" s="273"/>
      <c r="E60" s="127" t="str">
        <f>+IFERROR(INDEX(Hoja1!$E$2:$E$45,MATCH('Análisis Resultados'!C60,Hoja1!$H$2:$H$45,0)),"")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60" s="128" t="str">
        <f>+IFERROR(VLOOKUP(C60,Hoja1!$H$2:$I$45,2,0),"")</f>
        <v>Si</v>
      </c>
      <c r="G60" s="129" t="str">
        <f t="shared" si="0"/>
        <v>Existe requerimiento pero se requiere actividades  dirigidas a su mantenimiento dentro del marco de las lineas de defensa.</v>
      </c>
      <c r="H60" s="6"/>
      <c r="I60" s="143">
        <f t="shared" si="1"/>
        <v>1</v>
      </c>
      <c r="J60" s="276"/>
    </row>
    <row r="61" spans="1:10" s="1" customFormat="1" ht="84" customHeight="1" x14ac:dyDescent="0.25">
      <c r="C61" s="141">
        <v>43</v>
      </c>
      <c r="D61" s="273"/>
      <c r="E61" s="127" t="str">
        <f>+IFERROR(INDEX(Hoja1!$E$2:$E$45,MATCH('Análisis Resultados'!C61,Hoja1!$H$2:$H$45,0)),"")</f>
        <v>Seguimiento a los planes de mejoramiento suscritos con instancias de control internas o externas</v>
      </c>
      <c r="F61" s="128" t="str">
        <f>+IFERROR(VLOOKUP(C61,Hoja1!$H$2:$I$45,2,0),"")</f>
        <v>Si</v>
      </c>
      <c r="G61" s="129" t="str">
        <f t="shared" si="0"/>
        <v>Existe requerimiento pero se requiere actividades  dirigidas a su mantenimiento dentro del marco de las lineas de defensa.</v>
      </c>
      <c r="H61" s="6"/>
      <c r="I61" s="143">
        <f t="shared" si="1"/>
        <v>1</v>
      </c>
      <c r="J61" s="276"/>
    </row>
    <row r="62" spans="1:10" s="1" customFormat="1" ht="60" customHeight="1" thickBot="1" x14ac:dyDescent="0.3">
      <c r="C62" s="141">
        <v>44</v>
      </c>
      <c r="D62" s="274"/>
      <c r="E62" s="130" t="str">
        <f>+IFERROR(INDEX(Hoja1!$E$2:$E$45,MATCH('Análisis Resultados'!C62,Hoja1!$H$2:$H$45,0)),"")</f>
        <v>La entidad participa en el  Comité Municipal de Auditoría?</v>
      </c>
      <c r="F62" s="131" t="str">
        <f>+IFERROR(VLOOKUP(C62,Hoja1!$H$2:$I$45,2,0),"")</f>
        <v>Si</v>
      </c>
      <c r="G62" s="132" t="str">
        <f t="shared" si="0"/>
        <v>Existe requerimiento pero se requiere actividades  dirigidas a su mantenimiento dentro del marco de las lineas de defensa.</v>
      </c>
      <c r="H62" s="6"/>
      <c r="I62" s="144">
        <f t="shared" si="1"/>
        <v>1</v>
      </c>
      <c r="J62" s="277"/>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D19" zoomScale="90" zoomScaleNormal="90" workbookViewId="0">
      <selection activeCell="I32" sqref="I32:M32"/>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ht="14.45" x14ac:dyDescent="0.35"/>
    <row r="2" spans="1:17" thickBot="1" x14ac:dyDescent="0.4">
      <c r="A2" s="1"/>
      <c r="B2" s="1"/>
      <c r="C2" s="1"/>
      <c r="D2" s="1"/>
      <c r="E2" s="1"/>
      <c r="F2" s="1"/>
      <c r="G2" s="1"/>
      <c r="H2" s="1"/>
      <c r="I2" s="1"/>
      <c r="J2" s="1"/>
      <c r="K2" s="1"/>
      <c r="L2" s="1"/>
      <c r="M2" s="1"/>
      <c r="N2" s="1"/>
      <c r="O2" s="1"/>
      <c r="P2" s="1"/>
      <c r="Q2" s="1"/>
    </row>
    <row r="3" spans="1:17" thickTop="1" x14ac:dyDescent="0.35">
      <c r="A3" s="1"/>
      <c r="B3" s="2"/>
      <c r="C3" s="3"/>
      <c r="D3" s="3"/>
      <c r="E3" s="3"/>
      <c r="F3" s="3"/>
      <c r="G3" s="3"/>
      <c r="H3" s="3"/>
      <c r="I3" s="3"/>
      <c r="J3" s="3"/>
      <c r="K3" s="3"/>
      <c r="L3" s="3"/>
      <c r="M3" s="3"/>
      <c r="N3" s="3"/>
      <c r="O3" s="3"/>
      <c r="P3" s="4"/>
      <c r="Q3" s="1"/>
    </row>
    <row r="4" spans="1:17" ht="16.5" x14ac:dyDescent="0.3">
      <c r="A4" s="1"/>
      <c r="B4" s="5"/>
      <c r="C4" s="6"/>
      <c r="D4" s="6"/>
      <c r="E4" s="305" t="s">
        <v>124</v>
      </c>
      <c r="F4" s="307" t="s">
        <v>202</v>
      </c>
      <c r="G4" s="307"/>
      <c r="H4" s="307"/>
      <c r="I4" s="307"/>
      <c r="J4" s="307"/>
      <c r="K4" s="307"/>
      <c r="L4" s="307"/>
      <c r="M4" s="307"/>
      <c r="N4" s="7"/>
      <c r="O4" s="7"/>
      <c r="P4" s="8"/>
      <c r="Q4" s="1"/>
    </row>
    <row r="5" spans="1:17" ht="45.75" customHeight="1" x14ac:dyDescent="0.3">
      <c r="A5" s="1"/>
      <c r="B5" s="5"/>
      <c r="C5" s="6"/>
      <c r="D5" s="6"/>
      <c r="E5" s="306"/>
      <c r="F5" s="307"/>
      <c r="G5" s="307"/>
      <c r="H5" s="307"/>
      <c r="I5" s="307"/>
      <c r="J5" s="307"/>
      <c r="K5" s="307"/>
      <c r="L5" s="307"/>
      <c r="M5" s="307"/>
      <c r="N5" s="7"/>
      <c r="O5" s="7"/>
      <c r="P5" s="8"/>
      <c r="Q5" s="1"/>
    </row>
    <row r="6" spans="1:17" ht="66.75" customHeight="1" x14ac:dyDescent="0.35">
      <c r="A6" s="1"/>
      <c r="B6" s="5"/>
      <c r="C6" s="6"/>
      <c r="D6" s="6"/>
      <c r="E6" s="96" t="s">
        <v>125</v>
      </c>
      <c r="F6" s="308" t="s">
        <v>236</v>
      </c>
      <c r="G6" s="309"/>
      <c r="H6" s="309"/>
      <c r="I6" s="309"/>
      <c r="J6" s="309"/>
      <c r="K6" s="309"/>
      <c r="L6" s="309"/>
      <c r="M6" s="310"/>
      <c r="N6" s="9"/>
      <c r="O6" s="9"/>
      <c r="P6" s="8"/>
      <c r="Q6" s="1"/>
    </row>
    <row r="7" spans="1:17" thickBot="1" x14ac:dyDescent="0.4">
      <c r="A7" s="1"/>
      <c r="B7" s="5"/>
      <c r="C7" s="6"/>
      <c r="D7" s="6"/>
      <c r="E7" s="10"/>
      <c r="F7" s="9"/>
      <c r="G7" s="9"/>
      <c r="H7" s="9"/>
      <c r="I7" s="9"/>
      <c r="J7" s="9"/>
      <c r="K7" s="9"/>
      <c r="L7" s="9"/>
      <c r="M7" s="6"/>
      <c r="N7" s="6"/>
      <c r="O7" s="6"/>
      <c r="P7" s="8"/>
      <c r="Q7" s="1"/>
    </row>
    <row r="8" spans="1:17" ht="97.5" customHeight="1" thickBot="1" x14ac:dyDescent="0.4">
      <c r="A8" s="1"/>
      <c r="B8" s="5"/>
      <c r="C8" s="6"/>
      <c r="D8" s="6"/>
      <c r="E8" s="6"/>
      <c r="F8" s="6"/>
      <c r="G8" s="6"/>
      <c r="H8" s="6"/>
      <c r="I8" s="311" t="s">
        <v>126</v>
      </c>
      <c r="J8" s="312"/>
      <c r="K8" s="313"/>
      <c r="L8" s="6"/>
      <c r="M8" s="149">
        <f>+AVERAGE(G26,G28,G30,G32,G34)</f>
        <v>0.78214285714285714</v>
      </c>
      <c r="N8" s="11"/>
      <c r="O8" s="11"/>
      <c r="P8" s="8"/>
      <c r="Q8" s="1"/>
    </row>
    <row r="9" spans="1:17" ht="15.6" x14ac:dyDescent="0.35">
      <c r="A9" s="1"/>
      <c r="B9" s="5"/>
      <c r="C9" s="6"/>
      <c r="D9" s="6"/>
      <c r="E9" s="6"/>
      <c r="F9" s="6"/>
      <c r="G9" s="6"/>
      <c r="H9" s="6"/>
      <c r="I9" s="6"/>
      <c r="J9" s="6"/>
      <c r="K9" s="6"/>
      <c r="L9" s="6"/>
      <c r="M9" s="12"/>
      <c r="N9" s="12"/>
      <c r="O9" s="12"/>
      <c r="P9" s="8"/>
      <c r="Q9" s="1"/>
    </row>
    <row r="10" spans="1:17" ht="14.45" x14ac:dyDescent="0.35">
      <c r="A10" s="1"/>
      <c r="B10" s="5"/>
      <c r="C10" s="6"/>
      <c r="D10" s="6"/>
      <c r="E10" s="6"/>
      <c r="F10" s="6"/>
      <c r="G10" s="6"/>
      <c r="H10" s="6"/>
      <c r="I10" s="6"/>
      <c r="J10" s="6"/>
      <c r="K10" s="6"/>
      <c r="L10" s="6"/>
      <c r="M10" s="6"/>
      <c r="N10" s="6"/>
      <c r="O10" s="6"/>
      <c r="P10" s="8"/>
      <c r="Q10" s="1"/>
    </row>
    <row r="11" spans="1:17" ht="14.45" x14ac:dyDescent="0.35">
      <c r="A11" s="1"/>
      <c r="B11" s="5"/>
      <c r="C11" s="6"/>
      <c r="D11" s="6"/>
      <c r="E11" s="6"/>
      <c r="F11" s="6"/>
      <c r="G11" s="6"/>
      <c r="H11" s="6"/>
      <c r="I11" s="6"/>
      <c r="J11" s="6"/>
      <c r="K11" s="6"/>
      <c r="L11" s="6"/>
      <c r="M11" s="6"/>
      <c r="N11" s="6"/>
      <c r="O11" s="6"/>
      <c r="P11" s="8"/>
      <c r="Q11" s="1"/>
    </row>
    <row r="12" spans="1:17" ht="14.45" x14ac:dyDescent="0.35">
      <c r="A12" s="1"/>
      <c r="B12" s="5"/>
      <c r="C12" s="6"/>
      <c r="D12" s="6"/>
      <c r="E12" s="6"/>
      <c r="F12" s="6"/>
      <c r="G12" s="6"/>
      <c r="H12" s="6"/>
      <c r="I12" s="6"/>
      <c r="J12" s="6"/>
      <c r="K12" s="6"/>
      <c r="L12" s="6"/>
      <c r="M12" s="6"/>
      <c r="N12" s="6"/>
      <c r="O12" s="6"/>
      <c r="P12" s="8"/>
      <c r="Q12" s="1"/>
    </row>
    <row r="13" spans="1:17" ht="14.45" x14ac:dyDescent="0.35">
      <c r="A13" s="1"/>
      <c r="B13" s="5"/>
      <c r="C13" s="6"/>
      <c r="D13" s="6"/>
      <c r="E13" s="6"/>
      <c r="F13" s="6"/>
      <c r="G13" s="6"/>
      <c r="H13" s="6"/>
      <c r="I13" s="6"/>
      <c r="J13" s="6"/>
      <c r="K13" s="6"/>
      <c r="L13" s="6"/>
      <c r="M13" s="6"/>
      <c r="N13" s="6"/>
      <c r="O13" s="6"/>
      <c r="P13" s="8"/>
      <c r="Q13" s="1"/>
    </row>
    <row r="14" spans="1:17" ht="14.45" x14ac:dyDescent="0.35">
      <c r="A14" s="1"/>
      <c r="B14" s="5"/>
      <c r="C14" s="6"/>
      <c r="D14" s="6"/>
      <c r="E14" s="6"/>
      <c r="F14" s="6"/>
      <c r="G14" s="6"/>
      <c r="H14" s="6"/>
      <c r="I14" s="6"/>
      <c r="J14" s="6"/>
      <c r="K14" s="6"/>
      <c r="L14" s="6"/>
      <c r="M14" s="6"/>
      <c r="N14" s="6"/>
      <c r="O14" s="6"/>
      <c r="P14" s="8"/>
      <c r="Q14" s="1"/>
    </row>
    <row r="15" spans="1:17" ht="14.45" x14ac:dyDescent="0.35">
      <c r="A15" s="1"/>
      <c r="B15" s="5"/>
      <c r="C15" s="6"/>
      <c r="D15" s="6"/>
      <c r="E15" s="6"/>
      <c r="F15" s="6"/>
      <c r="G15" s="6"/>
      <c r="H15" s="6"/>
      <c r="I15" s="6"/>
      <c r="J15" s="6"/>
      <c r="K15" s="6"/>
      <c r="L15" s="6"/>
      <c r="M15" s="6"/>
      <c r="N15" s="6"/>
      <c r="O15" s="6"/>
      <c r="P15" s="8"/>
      <c r="Q15" s="1"/>
    </row>
    <row r="16" spans="1:17" ht="14.45" x14ac:dyDescent="0.35">
      <c r="A16" s="1"/>
      <c r="B16" s="5"/>
      <c r="C16" s="6"/>
      <c r="D16" s="6"/>
      <c r="E16" s="6"/>
      <c r="F16" s="6"/>
      <c r="G16" s="6"/>
      <c r="H16" s="6"/>
      <c r="I16" s="6"/>
      <c r="J16" s="6"/>
      <c r="K16" s="6"/>
      <c r="L16" s="6"/>
      <c r="M16" s="6"/>
      <c r="N16" s="6"/>
      <c r="O16" s="6"/>
      <c r="P16" s="8"/>
      <c r="Q16" s="1"/>
    </row>
    <row r="17" spans="1:17" ht="14.45" x14ac:dyDescent="0.35">
      <c r="A17" s="1"/>
      <c r="B17" s="5"/>
      <c r="C17" s="6"/>
      <c r="D17" s="6"/>
      <c r="E17" s="6"/>
      <c r="F17" s="6"/>
      <c r="G17" s="6"/>
      <c r="H17" s="6"/>
      <c r="I17" s="6"/>
      <c r="J17" s="6"/>
      <c r="K17" s="6"/>
      <c r="L17" s="6"/>
      <c r="M17" s="6"/>
      <c r="N17" s="6"/>
      <c r="O17" s="6"/>
      <c r="P17" s="8"/>
      <c r="Q17" s="1"/>
    </row>
    <row r="18" spans="1:17" ht="23.25" x14ac:dyDescent="0.25">
      <c r="A18" s="1"/>
      <c r="B18" s="5"/>
      <c r="C18" s="314" t="s">
        <v>127</v>
      </c>
      <c r="D18" s="315"/>
      <c r="E18" s="315"/>
      <c r="F18" s="315"/>
      <c r="G18" s="315"/>
      <c r="H18" s="315"/>
      <c r="I18" s="315"/>
      <c r="J18" s="315"/>
      <c r="K18" s="315"/>
      <c r="L18" s="315"/>
      <c r="M18" s="316"/>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7" t="s">
        <v>128</v>
      </c>
      <c r="D20" s="318"/>
      <c r="E20" s="152" t="s">
        <v>76</v>
      </c>
      <c r="F20" s="319" t="s">
        <v>234</v>
      </c>
      <c r="G20" s="320"/>
      <c r="H20" s="320"/>
      <c r="I20" s="320"/>
      <c r="J20" s="320"/>
      <c r="K20" s="320"/>
      <c r="L20" s="320"/>
      <c r="M20" s="321"/>
      <c r="N20" s="15"/>
      <c r="O20" s="15"/>
      <c r="P20" s="8"/>
      <c r="Q20" s="1"/>
    </row>
    <row r="21" spans="1:17" ht="126.75" customHeight="1" x14ac:dyDescent="0.25">
      <c r="A21" s="1"/>
      <c r="B21" s="5"/>
      <c r="C21" s="301" t="s">
        <v>129</v>
      </c>
      <c r="D21" s="302"/>
      <c r="E21" s="153" t="s">
        <v>39</v>
      </c>
      <c r="F21" s="322" t="s">
        <v>233</v>
      </c>
      <c r="G21" s="323"/>
      <c r="H21" s="323"/>
      <c r="I21" s="323"/>
      <c r="J21" s="323"/>
      <c r="K21" s="323"/>
      <c r="L21" s="323"/>
      <c r="M21" s="324"/>
      <c r="N21" s="15"/>
      <c r="O21" s="15"/>
      <c r="P21" s="8"/>
      <c r="Q21" s="1"/>
    </row>
    <row r="22" spans="1:17" ht="151.5" customHeight="1" thickBot="1" x14ac:dyDescent="0.3">
      <c r="A22" s="1"/>
      <c r="B22" s="5"/>
      <c r="C22" s="303" t="s">
        <v>130</v>
      </c>
      <c r="D22" s="304"/>
      <c r="E22" s="154" t="s">
        <v>39</v>
      </c>
      <c r="F22" s="325" t="s">
        <v>240</v>
      </c>
      <c r="G22" s="326"/>
      <c r="H22" s="326"/>
      <c r="I22" s="326"/>
      <c r="J22" s="326"/>
      <c r="K22" s="326"/>
      <c r="L22" s="326"/>
      <c r="M22" s="327"/>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30" t="s">
        <v>134</v>
      </c>
      <c r="J24" s="330"/>
      <c r="K24" s="330"/>
      <c r="L24" s="330"/>
      <c r="M24" s="330"/>
      <c r="N24" s="33"/>
      <c r="O24" s="33"/>
      <c r="P24" s="8"/>
      <c r="Q24" s="17"/>
    </row>
    <row r="25" spans="1:17" ht="13.5" customHeight="1" thickBot="1" x14ac:dyDescent="0.3">
      <c r="A25" s="1"/>
      <c r="B25" s="5"/>
      <c r="C25" s="32"/>
      <c r="D25" s="18"/>
      <c r="E25" s="18"/>
      <c r="F25" s="18"/>
      <c r="G25" s="18"/>
      <c r="H25" s="18"/>
      <c r="I25" s="331"/>
      <c r="J25" s="331"/>
      <c r="K25" s="331"/>
      <c r="L25" s="331"/>
      <c r="M25" s="331"/>
      <c r="N25" s="34"/>
      <c r="O25" s="34"/>
      <c r="P25" s="8"/>
      <c r="Q25" s="1"/>
    </row>
    <row r="26" spans="1:17" ht="240" customHeight="1" thickBot="1" x14ac:dyDescent="0.3">
      <c r="A26" s="1"/>
      <c r="B26" s="5"/>
      <c r="C26" s="90" t="s">
        <v>32</v>
      </c>
      <c r="D26" s="19"/>
      <c r="E26" s="150" t="str">
        <f>+IF(Hoja1!K2&gt;=0.5,"Si","No")</f>
        <v>Si</v>
      </c>
      <c r="F26" s="20"/>
      <c r="G26" s="151">
        <f>+Hoja1!K2</f>
        <v>0.875</v>
      </c>
      <c r="H26" s="20"/>
      <c r="I26" s="328" t="s">
        <v>235</v>
      </c>
      <c r="J26" s="329"/>
      <c r="K26" s="329"/>
      <c r="L26" s="329"/>
      <c r="M26" s="329"/>
      <c r="N26" s="35"/>
      <c r="O26" s="36"/>
      <c r="P26" s="21"/>
      <c r="Q26" s="22"/>
    </row>
    <row r="27" spans="1:17" ht="27" thickBot="1" x14ac:dyDescent="0.45">
      <c r="A27" s="1"/>
      <c r="B27" s="5"/>
      <c r="C27" s="91"/>
      <c r="D27" s="23"/>
      <c r="E27" s="98"/>
      <c r="F27" s="18"/>
      <c r="G27" s="24"/>
      <c r="H27" s="18"/>
      <c r="I27" s="332"/>
      <c r="J27" s="332"/>
      <c r="K27" s="332"/>
      <c r="L27" s="332"/>
      <c r="M27" s="332"/>
      <c r="N27" s="37"/>
      <c r="O27" s="37"/>
      <c r="P27" s="8"/>
      <c r="Q27" s="1"/>
    </row>
    <row r="28" spans="1:17" ht="251.1" customHeight="1" thickBot="1" x14ac:dyDescent="0.3">
      <c r="A28" s="1"/>
      <c r="B28" s="5"/>
      <c r="C28" s="92" t="s">
        <v>135</v>
      </c>
      <c r="D28" s="19"/>
      <c r="E28" s="150" t="str">
        <f>+IF(Hoja1!K14&gt;=0.5,"Si","No")</f>
        <v>Si</v>
      </c>
      <c r="F28" s="18"/>
      <c r="G28" s="151">
        <f>+Hoja1!K14</f>
        <v>0.75</v>
      </c>
      <c r="H28" s="18"/>
      <c r="I28" s="328" t="s">
        <v>237</v>
      </c>
      <c r="J28" s="329"/>
      <c r="K28" s="329"/>
      <c r="L28" s="329"/>
      <c r="M28" s="329"/>
      <c r="N28" s="35"/>
      <c r="O28" s="35"/>
      <c r="P28" s="8"/>
      <c r="Q28" s="1"/>
    </row>
    <row r="29" spans="1:17" ht="27" thickBot="1" x14ac:dyDescent="0.45">
      <c r="A29" s="1"/>
      <c r="B29" s="5"/>
      <c r="C29" s="91"/>
      <c r="D29" s="23"/>
      <c r="E29" s="98"/>
      <c r="F29" s="18"/>
      <c r="G29" s="24"/>
      <c r="H29" s="18"/>
      <c r="I29" s="332"/>
      <c r="J29" s="332"/>
      <c r="K29" s="332"/>
      <c r="L29" s="332"/>
      <c r="M29" s="332"/>
      <c r="N29" s="37"/>
      <c r="O29" s="37"/>
      <c r="P29" s="8"/>
      <c r="Q29" s="1"/>
    </row>
    <row r="30" spans="1:17" ht="197.25" customHeight="1" thickBot="1" x14ac:dyDescent="0.3">
      <c r="A30" s="1"/>
      <c r="B30" s="5"/>
      <c r="C30" s="93" t="s">
        <v>136</v>
      </c>
      <c r="D30" s="19"/>
      <c r="E30" s="150" t="str">
        <f>+IF(Hoja1!K24&gt;=0.5,"Si","No")</f>
        <v>Si</v>
      </c>
      <c r="F30" s="18"/>
      <c r="G30" s="151">
        <f>+Hoja1!K24</f>
        <v>0.8</v>
      </c>
      <c r="H30" s="18"/>
      <c r="I30" s="328" t="s">
        <v>208</v>
      </c>
      <c r="J30" s="329"/>
      <c r="K30" s="329"/>
      <c r="L30" s="329"/>
      <c r="M30" s="329"/>
      <c r="N30" s="35"/>
      <c r="O30" s="35"/>
      <c r="P30" s="8"/>
      <c r="Q30" s="1"/>
    </row>
    <row r="31" spans="1:17" ht="27" thickBot="1" x14ac:dyDescent="0.45">
      <c r="A31" s="1"/>
      <c r="B31" s="5"/>
      <c r="C31" s="91"/>
      <c r="D31" s="23"/>
      <c r="E31" s="98"/>
      <c r="F31" s="18"/>
      <c r="G31" s="24"/>
      <c r="H31" s="18"/>
      <c r="I31" s="332"/>
      <c r="J31" s="332"/>
      <c r="K31" s="332"/>
      <c r="L31" s="332"/>
      <c r="M31" s="332"/>
      <c r="N31" s="37"/>
      <c r="O31" s="37"/>
      <c r="P31" s="8"/>
      <c r="Q31" s="1"/>
    </row>
    <row r="32" spans="1:17" ht="309.75" customHeight="1" thickBot="1" x14ac:dyDescent="0.3">
      <c r="A32" s="1"/>
      <c r="B32" s="5"/>
      <c r="C32" s="94" t="s">
        <v>87</v>
      </c>
      <c r="D32" s="19"/>
      <c r="E32" s="150" t="str">
        <f>+IF(Hoja1!K29&gt;=0.5,"Si","No")</f>
        <v>Si</v>
      </c>
      <c r="F32" s="18"/>
      <c r="G32" s="151">
        <f>+Hoja1!K29</f>
        <v>0.7857142857142857</v>
      </c>
      <c r="H32" s="18"/>
      <c r="I32" s="328" t="s">
        <v>238</v>
      </c>
      <c r="J32" s="329"/>
      <c r="K32" s="329"/>
      <c r="L32" s="329"/>
      <c r="M32" s="329"/>
      <c r="N32" s="35"/>
      <c r="O32" s="35"/>
      <c r="P32" s="8"/>
      <c r="Q32" s="1"/>
    </row>
    <row r="33" spans="1:17" ht="27" thickBot="1" x14ac:dyDescent="0.45">
      <c r="A33" s="1"/>
      <c r="B33" s="5"/>
      <c r="C33" s="91"/>
      <c r="D33" s="23"/>
      <c r="E33" s="98"/>
      <c r="F33" s="18"/>
      <c r="G33" s="24"/>
      <c r="H33" s="18"/>
      <c r="I33" s="332"/>
      <c r="J33" s="332"/>
      <c r="K33" s="332"/>
      <c r="L33" s="332"/>
      <c r="M33" s="332"/>
      <c r="N33" s="37"/>
      <c r="O33" s="37"/>
      <c r="P33" s="8"/>
      <c r="Q33" s="1"/>
    </row>
    <row r="34" spans="1:17" ht="179.25" customHeight="1" thickBot="1" x14ac:dyDescent="0.3">
      <c r="A34" s="1"/>
      <c r="B34" s="5"/>
      <c r="C34" s="95" t="s">
        <v>137</v>
      </c>
      <c r="D34" s="19"/>
      <c r="E34" s="97" t="str">
        <f>+IF(Hoja1!K36&gt;=0.5,"Si","No")</f>
        <v>Si</v>
      </c>
      <c r="F34" s="18"/>
      <c r="G34" s="151">
        <f>+Hoja1!K36</f>
        <v>0.7</v>
      </c>
      <c r="H34" s="18"/>
      <c r="I34" s="328" t="s">
        <v>239</v>
      </c>
      <c r="J34" s="329"/>
      <c r="K34" s="329"/>
      <c r="L34" s="329"/>
      <c r="M34" s="32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3</v>
      </c>
      <c r="I2" s="159" t="str">
        <f>+IF(VLOOKUP(A2,'Estado SCI'!$A$16:$G$59,7,0)="","",VLOOKUP(A2,'Estado SCI'!$A$16:$G$59,7,0))</f>
        <v>Si</v>
      </c>
      <c r="J2" s="160">
        <f>+IF(I2="Si",1,IF(I2="En proceso",0.5,0))</f>
        <v>1</v>
      </c>
      <c r="K2" s="161">
        <f t="shared" ref="K2:K45" si="1">+AVERAGEIF($B$2:$B$45,B2,$J$2:$J$45)</f>
        <v>0.875</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4</v>
      </c>
      <c r="I3" s="159" t="str">
        <f>+IF(VLOOKUP(A3,'Estado SCI'!$A$16:$G$59,7,0)="","",VLOOKUP(A3,'Estado SCI'!$A$16:$G$59,7,0))</f>
        <v>Si</v>
      </c>
      <c r="J3" s="160">
        <f t="shared" ref="J3:J45" si="2">+IF(I3="Si",1,IF(I3="En proceso",0.5,0))</f>
        <v>1</v>
      </c>
      <c r="K3" s="161">
        <f t="shared" si="1"/>
        <v>0.875</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5</v>
      </c>
      <c r="I4" s="159" t="str">
        <f>+IF(VLOOKUP(A4,'Estado SCI'!$A$16:$G$59,7,0)="","",VLOOKUP(A4,'Estado SCI'!$A$16:$G$59,7,0))</f>
        <v>Si</v>
      </c>
      <c r="J4" s="160">
        <f t="shared" si="2"/>
        <v>1</v>
      </c>
      <c r="K4" s="161">
        <f t="shared" si="1"/>
        <v>0.875</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6</v>
      </c>
      <c r="I5" s="159" t="str">
        <f>+IF(VLOOKUP(A5,'Estado SCI'!$A$16:$G$59,7,0)="","",VLOOKUP(A5,'Estado SCI'!$A$16:$G$59,7,0))</f>
        <v>Si</v>
      </c>
      <c r="J5" s="160">
        <f t="shared" si="2"/>
        <v>1</v>
      </c>
      <c r="K5" s="161">
        <f t="shared" si="1"/>
        <v>0.875</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7</v>
      </c>
      <c r="I6" s="159" t="str">
        <f>+IF(VLOOKUP(A6,'Estado SCI'!$A$16:$G$59,7,0)="","",VLOOKUP(A6,'Estado SCI'!$A$16:$G$59,7,0))</f>
        <v>Si</v>
      </c>
      <c r="J6" s="160">
        <f t="shared" si="2"/>
        <v>1</v>
      </c>
      <c r="K6" s="161">
        <f t="shared" si="1"/>
        <v>0.875</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8</v>
      </c>
      <c r="I7" s="159" t="str">
        <f>+IF(VLOOKUP(A7,'Estado SCI'!$A$16:$G$59,7,0)="","",VLOOKUP(A7,'Estado SCI'!$A$16:$G$59,7,0))</f>
        <v>Si</v>
      </c>
      <c r="J7" s="160">
        <f t="shared" si="2"/>
        <v>1</v>
      </c>
      <c r="K7" s="161">
        <f t="shared" si="1"/>
        <v>0.875</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9</v>
      </c>
      <c r="I8" s="159" t="str">
        <f>+IF(VLOOKUP(A8,'Estado SCI'!$A$16:$G$59,7,0)="","",VLOOKUP(A8,'Estado SCI'!$A$16:$G$59,7,0))</f>
        <v>Si</v>
      </c>
      <c r="J8" s="160">
        <f t="shared" si="2"/>
        <v>1</v>
      </c>
      <c r="K8" s="161">
        <f t="shared" si="1"/>
        <v>0.875</v>
      </c>
    </row>
    <row r="9" spans="1:11" x14ac:dyDescent="0.25">
      <c r="A9" s="159" t="s">
        <v>150</v>
      </c>
      <c r="B9" s="159" t="s">
        <v>32</v>
      </c>
      <c r="C9" s="159" t="s">
        <v>33</v>
      </c>
      <c r="D9" s="159" t="s">
        <v>50</v>
      </c>
      <c r="E9" s="159" t="s">
        <v>51</v>
      </c>
      <c r="F9" s="159" t="str">
        <f>+VLOOKUP(A9,'Estado SCI'!$A$16:$I$59,9,0)</f>
        <v>Mantenimiento del control</v>
      </c>
      <c r="G9" s="159">
        <f>+VLOOKUP(A9,'Estado SCI'!$A$16:$L$59,12,0)</f>
        <v>20.123456789119999</v>
      </c>
      <c r="H9" s="159">
        <f t="shared" si="0"/>
        <v>10</v>
      </c>
      <c r="I9" s="159" t="str">
        <f>+IF(VLOOKUP(A9,'Estado SCI'!$A$16:$G$59,7,0)="","",VLOOKUP(A9,'Estado SCI'!$A$16:$G$59,7,0))</f>
        <v>Si</v>
      </c>
      <c r="J9" s="160">
        <f t="shared" si="2"/>
        <v>1</v>
      </c>
      <c r="K9" s="161">
        <f t="shared" si="1"/>
        <v>0.875</v>
      </c>
    </row>
    <row r="10" spans="1:11" x14ac:dyDescent="0.25">
      <c r="A10" s="159" t="s">
        <v>151</v>
      </c>
      <c r="B10" s="159" t="s">
        <v>32</v>
      </c>
      <c r="C10" s="159" t="s">
        <v>33</v>
      </c>
      <c r="D10" s="159" t="s">
        <v>52</v>
      </c>
      <c r="E10" s="159" t="s">
        <v>53</v>
      </c>
      <c r="F10" s="159" t="str">
        <f>+VLOOKUP(A10,'Estado SCI'!$A$16:$I$59,9,0)</f>
        <v>Mantenimiento del control</v>
      </c>
      <c r="G10" s="159">
        <f>+VLOOKUP(A10,'Estado SCI'!$A$16:$L$59,12,0)</f>
        <v>20.123456789123001</v>
      </c>
      <c r="H10" s="159">
        <f t="shared" si="0"/>
        <v>11</v>
      </c>
      <c r="I10" s="159" t="str">
        <f>+IF(VLOOKUP(A10,'Estado SCI'!$A$16:$G$59,7,0)="","",VLOOKUP(A10,'Estado SCI'!$A$16:$G$59,7,0))</f>
        <v>Si</v>
      </c>
      <c r="J10" s="160">
        <f t="shared" si="2"/>
        <v>1</v>
      </c>
      <c r="K10" s="161">
        <f t="shared" si="1"/>
        <v>0.875</v>
      </c>
    </row>
    <row r="11" spans="1:11" x14ac:dyDescent="0.25">
      <c r="A11" s="159" t="s">
        <v>152</v>
      </c>
      <c r="B11" s="159" t="s">
        <v>32</v>
      </c>
      <c r="C11" s="159" t="s">
        <v>33</v>
      </c>
      <c r="D11" s="159" t="s">
        <v>54</v>
      </c>
      <c r="E11" s="159" t="s">
        <v>55</v>
      </c>
      <c r="F11" s="159" t="str">
        <f>+VLOOKUP(A11,'Estado SCI'!$A$16:$I$59,9,0)</f>
        <v>Deficiencia de control</v>
      </c>
      <c r="G11" s="159">
        <f>+VLOOKUP(A11,'Estado SCI'!$A$16:$L$59,12,0)</f>
        <v>0.1234567891234</v>
      </c>
      <c r="H11" s="159">
        <f t="shared" si="0"/>
        <v>1</v>
      </c>
      <c r="I11" s="159" t="str">
        <f>+IF(VLOOKUP(A11,'Estado SCI'!$A$16:$G$59,7,0)="","",VLOOKUP(A11,'Estado SCI'!$A$16:$G$59,7,0))</f>
        <v>No</v>
      </c>
      <c r="J11" s="160">
        <f t="shared" si="2"/>
        <v>0</v>
      </c>
      <c r="K11" s="161">
        <f t="shared" si="1"/>
        <v>0.875</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12</v>
      </c>
      <c r="I12" s="159" t="str">
        <f>+IF(VLOOKUP(A12,'Estado SCI'!$A$16:$G$59,7,0)="","",VLOOKUP(A12,'Estado SCI'!$A$16:$G$59,7,0))</f>
        <v>Si</v>
      </c>
      <c r="J12" s="160">
        <f t="shared" si="2"/>
        <v>1</v>
      </c>
      <c r="K12" s="161">
        <f t="shared" si="1"/>
        <v>0.875</v>
      </c>
    </row>
    <row r="13" spans="1:11" x14ac:dyDescent="0.25">
      <c r="A13" s="159" t="s">
        <v>154</v>
      </c>
      <c r="B13" s="159" t="s">
        <v>32</v>
      </c>
      <c r="C13" s="159" t="s">
        <v>33</v>
      </c>
      <c r="D13" s="159" t="s">
        <v>58</v>
      </c>
      <c r="E13" s="159" t="s">
        <v>59</v>
      </c>
      <c r="F13" s="159" t="str">
        <f>+VLOOKUP(A13,'Estado SCI'!$A$16:$I$59,9,0)</f>
        <v>Oportunidad de mejora</v>
      </c>
      <c r="G13" s="159">
        <f>+VLOOKUP(A13,'Estado SCI'!$A$16:$L$59,12,0)</f>
        <v>10.123456789123455</v>
      </c>
      <c r="H13" s="159">
        <f t="shared" si="0"/>
        <v>2</v>
      </c>
      <c r="I13" s="159" t="str">
        <f>+IF(VLOOKUP(A13,'Estado SCI'!$A$16:$G$59,7,0)="","",VLOOKUP(A13,'Estado SCI'!$A$16:$G$59,7,0))</f>
        <v>En proceso</v>
      </c>
      <c r="J13" s="160">
        <f t="shared" si="2"/>
        <v>0.5</v>
      </c>
      <c r="K13" s="161">
        <f t="shared" si="1"/>
        <v>0.875</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16</v>
      </c>
      <c r="I14" s="159" t="str">
        <f>+IF(VLOOKUP(A14,'Estado SCI'!$A$16:$G$59,7,0)="","",VLOOKUP(A14,'Estado SCI'!$A$16:$G$59,7,0))</f>
        <v>Si</v>
      </c>
      <c r="J14" s="160">
        <f t="shared" si="2"/>
        <v>1</v>
      </c>
      <c r="K14" s="161">
        <f t="shared" si="1"/>
        <v>0.75</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17</v>
      </c>
      <c r="I15" s="159" t="str">
        <f>+IF(VLOOKUP(A15,'Estado SCI'!$A$16:$G$59,7,0)="","",VLOOKUP(A15,'Estado SCI'!$A$16:$G$59,7,0))</f>
        <v>Si</v>
      </c>
      <c r="J15" s="160">
        <f t="shared" si="2"/>
        <v>1</v>
      </c>
      <c r="K15" s="161">
        <f t="shared" si="1"/>
        <v>0.75</v>
      </c>
    </row>
    <row r="16" spans="1:11" ht="15" customHeight="1" x14ac:dyDescent="0.25">
      <c r="A16" s="159" t="s">
        <v>159</v>
      </c>
      <c r="B16" s="159" t="s">
        <v>61</v>
      </c>
      <c r="C16" s="159" t="s">
        <v>62</v>
      </c>
      <c r="D16" s="159" t="s">
        <v>40</v>
      </c>
      <c r="E16" s="159" t="s">
        <v>160</v>
      </c>
      <c r="F16" s="159" t="str">
        <f>+VLOOKUP(A16,'Estado SCI'!$A$16:$I$59,9,0)</f>
        <v>Mantenimiento del control</v>
      </c>
      <c r="G16" s="159">
        <f>+VLOOKUP(A16,'Estado SCI'!$A$16:$L$59,12,0)</f>
        <v>40.234499999999997</v>
      </c>
      <c r="H16" s="159">
        <f t="shared" si="0"/>
        <v>18</v>
      </c>
      <c r="I16" s="159" t="str">
        <f>+IF(VLOOKUP(A16,'Estado SCI'!$A$16:$G$59,7,0)="","",VLOOKUP(A16,'Estado SCI'!$A$16:$G$59,7,0))</f>
        <v>Si</v>
      </c>
      <c r="J16" s="160">
        <f t="shared" si="2"/>
        <v>1</v>
      </c>
      <c r="K16" s="161">
        <f t="shared" si="1"/>
        <v>0.75</v>
      </c>
    </row>
    <row r="17" spans="1:11" ht="15.75" customHeight="1" x14ac:dyDescent="0.25">
      <c r="A17" s="159" t="s">
        <v>161</v>
      </c>
      <c r="B17" s="159" t="s">
        <v>61</v>
      </c>
      <c r="C17" s="159" t="s">
        <v>62</v>
      </c>
      <c r="D17" s="159" t="s">
        <v>42</v>
      </c>
      <c r="E17" s="159" t="s">
        <v>66</v>
      </c>
      <c r="F17" s="159" t="str">
        <f>+VLOOKUP(A17,'Estado SCI'!$A$16:$I$59,9,0)</f>
        <v>Oportunidad de mejora</v>
      </c>
      <c r="G17" s="159">
        <f>+VLOOKUP(A17,'Estado SCI'!$A$16:$L$59,12,0)</f>
        <v>30.234559999999998</v>
      </c>
      <c r="H17" s="159">
        <f t="shared" si="0"/>
        <v>15</v>
      </c>
      <c r="I17" s="159" t="str">
        <f>+IF(VLOOKUP(A17,'Estado SCI'!$A$16:$G$59,7,0)="","",VLOOKUP(A17,'Estado SCI'!$A$16:$G$59,7,0))</f>
        <v>En proceso</v>
      </c>
      <c r="J17" s="160">
        <f t="shared" si="2"/>
        <v>0.5</v>
      </c>
      <c r="K17" s="161">
        <f t="shared" si="1"/>
        <v>0.75</v>
      </c>
    </row>
    <row r="18" spans="1:11" ht="15" customHeight="1" x14ac:dyDescent="0.25">
      <c r="A18" s="159" t="s">
        <v>162</v>
      </c>
      <c r="B18" s="159" t="s">
        <v>61</v>
      </c>
      <c r="C18" s="159" t="s">
        <v>80</v>
      </c>
      <c r="D18" s="159" t="s">
        <v>34</v>
      </c>
      <c r="E18" s="159" t="s">
        <v>69</v>
      </c>
      <c r="F18" s="159" t="str">
        <f>+VLOOKUP(A18,'Estado SCI'!$A$16:$I$59,9,0)</f>
        <v>Deficiencia de control</v>
      </c>
      <c r="G18" s="159">
        <f>+VLOOKUP(A18,'Estado SCI'!$A$16:$L$59,12,0)</f>
        <v>20.234566999999998</v>
      </c>
      <c r="H18" s="159">
        <f t="shared" si="0"/>
        <v>13</v>
      </c>
      <c r="I18" s="159" t="str">
        <f>+IF(VLOOKUP(A18,'Estado SCI'!$A$16:$G$59,7,0)="","",VLOOKUP(A18,'Estado SCI'!$A$16:$G$59,7,0))</f>
        <v>No</v>
      </c>
      <c r="J18" s="160">
        <f t="shared" si="2"/>
        <v>0</v>
      </c>
      <c r="K18" s="161">
        <f t="shared" si="1"/>
        <v>0.75</v>
      </c>
    </row>
    <row r="19" spans="1:11" ht="15" customHeight="1" x14ac:dyDescent="0.25">
      <c r="A19" s="159" t="s">
        <v>163</v>
      </c>
      <c r="B19" s="159" t="s">
        <v>61</v>
      </c>
      <c r="C19" s="159" t="s">
        <v>80</v>
      </c>
      <c r="D19" s="159" t="s">
        <v>37</v>
      </c>
      <c r="E19" s="159" t="s">
        <v>70</v>
      </c>
      <c r="F19" s="159" t="str">
        <f>+VLOOKUP(A19,'Estado SCI'!$A$16:$I$59,9,0)</f>
        <v>Deficiencia de control</v>
      </c>
      <c r="G19" s="159">
        <f>+VLOOKUP(A19,'Estado SCI'!$A$16:$L$59,12,0)</f>
        <v>20.234567800000001</v>
      </c>
      <c r="H19" s="159">
        <f t="shared" si="0"/>
        <v>14</v>
      </c>
      <c r="I19" s="159" t="str">
        <f>+IF(VLOOKUP(A19,'Estado SCI'!$A$16:$G$59,7,0)="","",VLOOKUP(A19,'Estado SCI'!$A$16:$G$59,7,0))</f>
        <v>No</v>
      </c>
      <c r="J19" s="160">
        <f t="shared" si="2"/>
        <v>0</v>
      </c>
      <c r="K19" s="161">
        <f t="shared" si="1"/>
        <v>0.75</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19</v>
      </c>
      <c r="I20" s="159" t="str">
        <f>+IF(VLOOKUP(A20,'Estado SCI'!$A$16:$G$59,7,0)="","",VLOOKUP(A20,'Estado SCI'!$A$16:$G$59,7,0))</f>
        <v>Si</v>
      </c>
      <c r="J20" s="160">
        <f t="shared" si="2"/>
        <v>1</v>
      </c>
      <c r="K20" s="161">
        <f t="shared" si="1"/>
        <v>0.75</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20</v>
      </c>
      <c r="I21" s="159" t="str">
        <f>+IF(VLOOKUP(A21,'Estado SCI'!$A$16:$G$59,7,0)="","",VLOOKUP(A21,'Estado SCI'!$A$16:$G$59,7,0))</f>
        <v>Si</v>
      </c>
      <c r="J21" s="160">
        <f t="shared" si="2"/>
        <v>1</v>
      </c>
      <c r="K21" s="161">
        <f t="shared" si="1"/>
        <v>0.75</v>
      </c>
    </row>
    <row r="22" spans="1:11" ht="15" customHeight="1" x14ac:dyDescent="0.25">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0.75</v>
      </c>
    </row>
    <row r="23" spans="1:11" ht="15" customHeight="1" x14ac:dyDescent="0.25">
      <c r="A23" s="159" t="s">
        <v>167</v>
      </c>
      <c r="B23" s="159" t="s">
        <v>61</v>
      </c>
      <c r="C23" s="159" t="s">
        <v>88</v>
      </c>
      <c r="D23" s="159" t="s">
        <v>40</v>
      </c>
      <c r="E23" s="159" t="s">
        <v>77</v>
      </c>
      <c r="F23" s="159" t="str">
        <f>+VLOOKUP(A23,'Estado SCI'!$A$16:$I$59,9,0)</f>
        <v>Mantenimiento del control</v>
      </c>
      <c r="G23" s="159">
        <f>+VLOOKUP(A23,'Estado SCI'!$A$16:$L$59,12,0)</f>
        <v>40.234567891234001</v>
      </c>
      <c r="H23" s="159">
        <f t="shared" si="0"/>
        <v>22</v>
      </c>
      <c r="I23" s="159" t="str">
        <f>+IF(VLOOKUP(A23,'Estado SCI'!$A$16:$G$59,7,0)="","",VLOOKUP(A23,'Estado SCI'!$A$16:$G$59,7,0))</f>
        <v>Si</v>
      </c>
      <c r="J23" s="160">
        <f t="shared" si="2"/>
        <v>1</v>
      </c>
      <c r="K23" s="161">
        <f t="shared" si="1"/>
        <v>0.75</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25</v>
      </c>
      <c r="I24" s="159" t="str">
        <f>+IF(VLOOKUP(A24,'Estado SCI'!$A$16:$G$59,7,0)="","",VLOOKUP(A24,'Estado SCI'!$A$16:$G$59,7,0))</f>
        <v>Si</v>
      </c>
      <c r="J24" s="160">
        <f t="shared" si="2"/>
        <v>1</v>
      </c>
      <c r="K24" s="161">
        <f t="shared" si="1"/>
        <v>0.8</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23</v>
      </c>
      <c r="I25" s="159" t="str">
        <f>+IF(VLOOKUP(A25,'Estado SCI'!$A$16:$G$59,7,0)="","",VLOOKUP(A25,'Estado SCI'!$A$16:$G$59,7,0))</f>
        <v>En proceso</v>
      </c>
      <c r="J25" s="160">
        <f t="shared" si="2"/>
        <v>0.5</v>
      </c>
      <c r="K25" s="161">
        <f t="shared" si="1"/>
        <v>0.8</v>
      </c>
    </row>
    <row r="26" spans="1:11" ht="15" customHeight="1" x14ac:dyDescent="0.25">
      <c r="A26" s="159" t="s">
        <v>170</v>
      </c>
      <c r="B26" s="159" t="s">
        <v>79</v>
      </c>
      <c r="C26" s="159" t="s">
        <v>88</v>
      </c>
      <c r="D26" s="159" t="s">
        <v>40</v>
      </c>
      <c r="E26" s="159" t="s">
        <v>83</v>
      </c>
      <c r="F26" s="159" t="str">
        <f>+VLOOKUP(A26,'Estado SCI'!$A$16:$I$59,9,0)</f>
        <v>Oportunidad de mejora</v>
      </c>
      <c r="G26" s="159">
        <f>+VLOOKUP(A26,'Estado SCI'!$A$16:$L$59,12,0)</f>
        <v>50.323999999999998</v>
      </c>
      <c r="H26" s="159">
        <f t="shared" si="0"/>
        <v>24</v>
      </c>
      <c r="I26" s="159" t="str">
        <f>+IF(VLOOKUP(A26,'Estado SCI'!$A$16:$G$59,7,0)="","",VLOOKUP(A26,'Estado SCI'!$A$16:$G$59,7,0))</f>
        <v>En proceso</v>
      </c>
      <c r="J26" s="160">
        <f t="shared" si="2"/>
        <v>0.5</v>
      </c>
      <c r="K26" s="161">
        <f t="shared" si="1"/>
        <v>0.8</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0.8</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0.8</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30</v>
      </c>
      <c r="I29" s="159" t="str">
        <f>+IF(VLOOKUP(A29,'Estado SCI'!$A$16:$G$59,7,0)="","",VLOOKUP(A29,'Estado SCI'!$A$16:$G$59,7,0))</f>
        <v>Si</v>
      </c>
      <c r="J29" s="160">
        <f t="shared" si="2"/>
        <v>1</v>
      </c>
      <c r="K29" s="161">
        <f t="shared" si="1"/>
        <v>0.7857142857142857</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31</v>
      </c>
      <c r="I30" s="159" t="str">
        <f>+IF(VLOOKUP(A30,'Estado SCI'!$A$16:$G$59,7,0)="","",VLOOKUP(A30,'Estado SCI'!$A$16:$G$59,7,0))</f>
        <v>Si</v>
      </c>
      <c r="J30" s="160">
        <f t="shared" si="2"/>
        <v>1</v>
      </c>
      <c r="K30" s="161">
        <f t="shared" si="1"/>
        <v>0.7857142857142857</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32</v>
      </c>
      <c r="I31" s="159" t="str">
        <f>+IF(VLOOKUP(A31,'Estado SCI'!$A$16:$G$59,7,0)="","",VLOOKUP(A31,'Estado SCI'!$A$16:$G$59,7,0))</f>
        <v>Si</v>
      </c>
      <c r="J31" s="160">
        <f t="shared" si="2"/>
        <v>1</v>
      </c>
      <c r="K31" s="161">
        <f t="shared" si="1"/>
        <v>0.7857142857142857</v>
      </c>
    </row>
    <row r="32" spans="1:11" x14ac:dyDescent="0.25">
      <c r="A32" s="159" t="s">
        <v>176</v>
      </c>
      <c r="B32" s="159" t="s">
        <v>87</v>
      </c>
      <c r="C32" s="159" t="s">
        <v>104</v>
      </c>
      <c r="D32" s="159" t="s">
        <v>42</v>
      </c>
      <c r="E32" s="159" t="s">
        <v>92</v>
      </c>
      <c r="F32" s="159" t="str">
        <f>+VLOOKUP(A32,'Estado SCI'!$A$16:$I$59,9,0)</f>
        <v>Deficiencia de control</v>
      </c>
      <c r="G32" s="159">
        <f>+VLOOKUP(A32,'Estado SCI'!$A$16:$L$59,12,0)</f>
        <v>60.412345000000002</v>
      </c>
      <c r="H32" s="159">
        <f t="shared" si="0"/>
        <v>28</v>
      </c>
      <c r="I32" s="159" t="str">
        <f>+IF(VLOOKUP(A32,'Estado SCI'!$A$16:$G$59,7,0)="","",VLOOKUP(A32,'Estado SCI'!$A$16:$G$59,7,0))</f>
        <v>No</v>
      </c>
      <c r="J32" s="160">
        <f t="shared" si="2"/>
        <v>0</v>
      </c>
      <c r="K32" s="161">
        <f t="shared" si="1"/>
        <v>0.7857142857142857</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33</v>
      </c>
      <c r="I33" s="159" t="str">
        <f>+IF(VLOOKUP(A33,'Estado SCI'!$A$16:$G$59,7,0)="","",VLOOKUP(A33,'Estado SCI'!$A$16:$G$59,7,0))</f>
        <v>Si</v>
      </c>
      <c r="J33" s="160">
        <f t="shared" si="2"/>
        <v>1</v>
      </c>
      <c r="K33" s="161">
        <f t="shared" si="1"/>
        <v>0.7857142857142857</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34</v>
      </c>
      <c r="I34" s="159" t="str">
        <f>+IF(VLOOKUP(A34,'Estado SCI'!$A$16:$G$59,7,0)="","",VLOOKUP(A34,'Estado SCI'!$A$16:$G$59,7,0))</f>
        <v>Si</v>
      </c>
      <c r="J34" s="160">
        <f t="shared" si="2"/>
        <v>1</v>
      </c>
      <c r="K34" s="161">
        <f t="shared" si="1"/>
        <v>0.7857142857142857</v>
      </c>
    </row>
    <row r="35" spans="1:11" x14ac:dyDescent="0.25">
      <c r="A35" s="159" t="s">
        <v>180</v>
      </c>
      <c r="B35" s="159" t="s">
        <v>87</v>
      </c>
      <c r="C35" s="159" t="s">
        <v>178</v>
      </c>
      <c r="D35" s="159" t="s">
        <v>48</v>
      </c>
      <c r="E35" s="159" t="s">
        <v>95</v>
      </c>
      <c r="F35" s="159" t="str">
        <f>+VLOOKUP(A35,'Estado SCI'!$A$16:$I$59,9,0)</f>
        <v>Oportunidad de mejora</v>
      </c>
      <c r="G35" s="159">
        <f>+VLOOKUP(A35,'Estado SCI'!$A$16:$L$59,12,0)</f>
        <v>70.412345677999994</v>
      </c>
      <c r="H35" s="159">
        <f t="shared" si="0"/>
        <v>29</v>
      </c>
      <c r="I35" s="159" t="str">
        <f>+IF(VLOOKUP(A35,'Estado SCI'!$A$16:$G$59,7,0)="","",VLOOKUP(A35,'Estado SCI'!$A$16:$G$59,7,0))</f>
        <v>En proceso</v>
      </c>
      <c r="J35" s="160">
        <f t="shared" si="2"/>
        <v>0.5</v>
      </c>
      <c r="K35" s="161">
        <f t="shared" si="1"/>
        <v>0.7857142857142857</v>
      </c>
    </row>
    <row r="36" spans="1:11" x14ac:dyDescent="0.2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41</v>
      </c>
      <c r="I36" s="159" t="str">
        <f>+IF(VLOOKUP(A36,'Estado SCI'!$A$16:$G$59,7,0)="","",VLOOKUP(A36,'Estado SCI'!$A$16:$G$59,7,0))</f>
        <v>Si</v>
      </c>
      <c r="J36" s="160">
        <f t="shared" si="2"/>
        <v>1</v>
      </c>
      <c r="K36" s="161">
        <f t="shared" si="1"/>
        <v>0.7</v>
      </c>
    </row>
    <row r="37" spans="1:11" x14ac:dyDescent="0.25">
      <c r="A37" s="159" t="s">
        <v>182</v>
      </c>
      <c r="B37" s="159" t="s">
        <v>97</v>
      </c>
      <c r="C37" s="159" t="s">
        <v>178</v>
      </c>
      <c r="D37" s="159" t="s">
        <v>42</v>
      </c>
      <c r="E37" s="159" t="s">
        <v>100</v>
      </c>
      <c r="F37" s="159" t="str">
        <f>+VLOOKUP(A37,'Estado SCI'!$A$16:$I$59,9,0)</f>
        <v>Mantenimiento del control</v>
      </c>
      <c r="G37" s="159">
        <f>+VLOOKUP(A37,'Estado SCI'!$A$16:$L$59,12,0)</f>
        <v>120.85120000000001</v>
      </c>
      <c r="H37" s="159">
        <f t="shared" si="0"/>
        <v>42</v>
      </c>
      <c r="I37" s="159" t="str">
        <f>+IF(VLOOKUP(A37,'Estado SCI'!$A$16:$G$59,7,0)="","",VLOOKUP(A37,'Estado SCI'!$A$16:$G$59,7,0))</f>
        <v>Si</v>
      </c>
      <c r="J37" s="160">
        <f t="shared" si="2"/>
        <v>1</v>
      </c>
      <c r="K37" s="161">
        <f t="shared" si="1"/>
        <v>0.7</v>
      </c>
    </row>
    <row r="38" spans="1:11" x14ac:dyDescent="0.25">
      <c r="A38" s="159" t="s">
        <v>183</v>
      </c>
      <c r="B38" s="159" t="s">
        <v>97</v>
      </c>
      <c r="C38" s="159" t="s">
        <v>68</v>
      </c>
      <c r="D38" s="159" t="s">
        <v>46</v>
      </c>
      <c r="E38" s="159" t="s">
        <v>101</v>
      </c>
      <c r="F38" s="159" t="str">
        <f>+VLOOKUP(A38,'Estado SCI'!$A$16:$I$59,9,0)</f>
        <v>Oportunidad de mejora</v>
      </c>
      <c r="G38" s="159">
        <f>+VLOOKUP(A38,'Estado SCI'!$A$16:$L$59,12,0)</f>
        <v>100.85123</v>
      </c>
      <c r="H38" s="159">
        <f t="shared" si="0"/>
        <v>35</v>
      </c>
      <c r="I38" s="159" t="str">
        <f>+IF(VLOOKUP(A38,'Estado SCI'!$A$16:$G$59,7,0)="","",VLOOKUP(A38,'Estado SCI'!$A$16:$G$59,7,0))</f>
        <v>En proceso</v>
      </c>
      <c r="J38" s="160">
        <f t="shared" si="2"/>
        <v>0.5</v>
      </c>
      <c r="K38" s="161">
        <f t="shared" si="1"/>
        <v>0.7</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43</v>
      </c>
      <c r="I39" s="159" t="str">
        <f>+IF(VLOOKUP(A39,'Estado SCI'!$A$16:$G$59,7,0)="","",VLOOKUP(A39,'Estado SCI'!$A$16:$G$59,7,0))</f>
        <v>Si</v>
      </c>
      <c r="J39" s="160">
        <f t="shared" si="2"/>
        <v>1</v>
      </c>
      <c r="K39" s="161">
        <f t="shared" si="1"/>
        <v>0.7</v>
      </c>
    </row>
    <row r="40" spans="1:11" x14ac:dyDescent="0.25">
      <c r="A40" s="159" t="s">
        <v>185</v>
      </c>
      <c r="B40" s="159" t="s">
        <v>97</v>
      </c>
      <c r="C40" s="159" t="s">
        <v>68</v>
      </c>
      <c r="D40" s="159" t="s">
        <v>50</v>
      </c>
      <c r="E40" s="159" t="s">
        <v>105</v>
      </c>
      <c r="F40" s="159" t="str">
        <f>+VLOOKUP(A40,'Estado SCI'!$A$16:$I$59,9,0)</f>
        <v>Mantenimiento del control</v>
      </c>
      <c r="G40" s="159">
        <f>+VLOOKUP(A40,'Estado SCI'!$A$16:$L$59,12,0)</f>
        <v>120.8512345</v>
      </c>
      <c r="H40" s="159">
        <f t="shared" si="0"/>
        <v>44</v>
      </c>
      <c r="I40" s="159" t="str">
        <f>+IF(VLOOKUP(A40,'Estado SCI'!$A$16:$G$59,7,0)="","",VLOOKUP(A40,'Estado SCI'!$A$16:$G$59,7,0))</f>
        <v>Si</v>
      </c>
      <c r="J40" s="160">
        <f t="shared" si="2"/>
        <v>1</v>
      </c>
      <c r="K40" s="161">
        <f t="shared" si="1"/>
        <v>0.7</v>
      </c>
    </row>
    <row r="41" spans="1:11" x14ac:dyDescent="0.25">
      <c r="A41" s="159" t="s">
        <v>186</v>
      </c>
      <c r="B41" s="159" t="s">
        <v>97</v>
      </c>
      <c r="C41" s="159" t="s">
        <v>68</v>
      </c>
      <c r="D41" s="159" t="s">
        <v>34</v>
      </c>
      <c r="E41" s="159" t="s">
        <v>108</v>
      </c>
      <c r="F41" s="159" t="str">
        <f>+VLOOKUP(A41,'Estado SCI'!$A$16:$I$59,9,0)</f>
        <v>Oportunidad de mejora</v>
      </c>
      <c r="G41" s="159">
        <f>+VLOOKUP(A41,'Estado SCI'!$A$16:$L$59,12,0)</f>
        <v>100.85123455999999</v>
      </c>
      <c r="H41" s="159">
        <f t="shared" si="0"/>
        <v>36</v>
      </c>
      <c r="I41" s="159" t="str">
        <f>+IF(VLOOKUP(A41,'Estado SCI'!$A$16:$G$59,7,0)="","",VLOOKUP(A41,'Estado SCI'!$A$16:$G$59,7,0))</f>
        <v>En proceso</v>
      </c>
      <c r="J41" s="160">
        <f t="shared" si="2"/>
        <v>0.5</v>
      </c>
      <c r="K41" s="161">
        <f t="shared" si="1"/>
        <v>0.7</v>
      </c>
    </row>
    <row r="42" spans="1:11" x14ac:dyDescent="0.25">
      <c r="A42" s="159" t="s">
        <v>187</v>
      </c>
      <c r="B42" s="159" t="s">
        <v>97</v>
      </c>
      <c r="C42" s="159" t="s">
        <v>73</v>
      </c>
      <c r="D42" s="159" t="s">
        <v>37</v>
      </c>
      <c r="E42" s="159" t="s">
        <v>109</v>
      </c>
      <c r="F42" s="159" t="str">
        <f>+VLOOKUP(A42,'Estado SCI'!$A$16:$I$59,9,0)</f>
        <v>Oportunidad de mejora</v>
      </c>
      <c r="G42" s="159">
        <f>+VLOOKUP(A42,'Estado SCI'!$A$16:$L$59,12,0)</f>
        <v>100.85123456700001</v>
      </c>
      <c r="H42" s="159">
        <f t="shared" si="0"/>
        <v>37</v>
      </c>
      <c r="I42" s="159" t="str">
        <f>+IF(VLOOKUP(A42,'Estado SCI'!$A$16:$G$59,7,0)="","",VLOOKUP(A42,'Estado SCI'!$A$16:$G$59,7,0))</f>
        <v>En proceso</v>
      </c>
      <c r="J42" s="160">
        <f t="shared" si="2"/>
        <v>0.5</v>
      </c>
      <c r="K42" s="161">
        <f t="shared" si="1"/>
        <v>0.7</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38</v>
      </c>
      <c r="I43" s="159" t="str">
        <f>+IF(VLOOKUP(A43,'Estado SCI'!$A$16:$G$59,7,0)="","",VLOOKUP(A43,'Estado SCI'!$A$16:$G$59,7,0))</f>
        <v>En proceso</v>
      </c>
      <c r="J43" s="160">
        <f t="shared" si="2"/>
        <v>0.5</v>
      </c>
      <c r="K43" s="161">
        <f t="shared" si="1"/>
        <v>0.7</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39</v>
      </c>
      <c r="I44" s="159" t="str">
        <f>+IF(VLOOKUP(A44,'Estado SCI'!$A$16:$G$59,7,0)="","",VLOOKUP(A44,'Estado SCI'!$A$16:$G$59,7,0))</f>
        <v>En proceso</v>
      </c>
      <c r="J44" s="160">
        <f t="shared" si="2"/>
        <v>0.5</v>
      </c>
      <c r="K44" s="161">
        <f t="shared" si="1"/>
        <v>0.7</v>
      </c>
    </row>
    <row r="45" spans="1:11" x14ac:dyDescent="0.25">
      <c r="A45" s="159" t="s">
        <v>190</v>
      </c>
      <c r="B45" s="159" t="s">
        <v>97</v>
      </c>
      <c r="C45" s="159" t="s">
        <v>73</v>
      </c>
      <c r="D45" s="159" t="s">
        <v>44</v>
      </c>
      <c r="E45" s="159" t="s">
        <v>112</v>
      </c>
      <c r="F45" s="159" t="str">
        <f>+VLOOKUP(A45,'Estado SCI'!$A$16:$I$59,9,0)</f>
        <v>Oportunidad de mejora</v>
      </c>
      <c r="G45" s="159">
        <f>+VLOOKUP(A45,'Estado SCI'!$A$16:$L$59,12,0)</f>
        <v>100.851234567891</v>
      </c>
      <c r="H45" s="159">
        <f t="shared" si="0"/>
        <v>40</v>
      </c>
      <c r="I45" s="159" t="str">
        <f>+IF(VLOOKUP(A45,'Estado SCI'!$A$16:$G$59,7,0)="","",VLOOKUP(A45,'Estado SCI'!$A$16:$G$59,7,0))</f>
        <v>En proceso</v>
      </c>
      <c r="J45" s="160">
        <f t="shared" si="2"/>
        <v>0.5</v>
      </c>
      <c r="K45" s="161">
        <f t="shared" si="1"/>
        <v>0.7</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USUARIO</cp:lastModifiedBy>
  <cp:revision/>
  <dcterms:created xsi:type="dcterms:W3CDTF">2020-04-28T13:58:09Z</dcterms:created>
  <dcterms:modified xsi:type="dcterms:W3CDTF">2022-02-01T15:13:16Z</dcterms:modified>
</cp:coreProperties>
</file>